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Users\Paco\Downloads\"/>
    </mc:Choice>
  </mc:AlternateContent>
  <bookViews>
    <workbookView xWindow="0" yWindow="0" windowWidth="14535" windowHeight="7725"/>
  </bookViews>
  <sheets>
    <sheet name="AutoBaremo" sheetId="1" r:id="rId1"/>
    <sheet name="BalanceyResultados" sheetId="5" r:id="rId2"/>
    <sheet name="CuadroPresupuesto" sheetId="9" r:id="rId3"/>
    <sheet name="PlanInversion" sheetId="6" r:id="rId4"/>
    <sheet name="PlanFinanciacion" sheetId="7" r:id="rId5"/>
    <sheet name="DatosEmpleo" sheetId="8" r:id="rId6"/>
    <sheet name="Listas" sheetId="2" state="hidden" r:id="rId7"/>
  </sheets>
  <definedNames>
    <definedName name="_xlnm._FilterDatabase" localSheetId="0" hidden="1">AutoBaremo!$A$12:$K$285</definedName>
    <definedName name="_xlnm._FilterDatabase" localSheetId="1" hidden="1">BalanceyResultados!$A$7:$C$7</definedName>
    <definedName name="_xlnm._FilterDatabase" localSheetId="2" hidden="1">CuadroPresupuesto!$A$7:$C$7</definedName>
    <definedName name="_xlnm._FilterDatabase" localSheetId="5" hidden="1">DatosEmpleo!$A$6:$C$6</definedName>
    <definedName name="_xlnm._FilterDatabase" localSheetId="4" hidden="1">PlanFinanciacion!$A$6:$C$6</definedName>
    <definedName name="_xlnm._FilterDatabase" localSheetId="3" hidden="1">PlanInversion!$A$6:$C$6</definedName>
    <definedName name="_xlnm.Print_Area" localSheetId="0">AutoBaremo!$B$1:$K$286</definedName>
    <definedName name="_xlnm.Print_Area" localSheetId="1">BalanceyResultados!$B$1:$Q$105</definedName>
    <definedName name="_xlnm.Print_Area" localSheetId="2">CuadroPresupuesto!$B$1:$L$66</definedName>
    <definedName name="_xlnm.Print_Area" localSheetId="5">DatosEmpleo!$B$1:$L$47</definedName>
    <definedName name="_xlnm.Print_Area" localSheetId="4">PlanFinanciacion!$B$1:$H$49</definedName>
    <definedName name="_xlnm.Print_Area" localSheetId="3">PlanInversion!$B$1:$K$43</definedName>
    <definedName name="_xlnm.Print_Titles" localSheetId="0">AutoBaremo!$1:$5</definedName>
    <definedName name="_xlnm.Print_Titles" localSheetId="1">BalanceyResultados!$1:$8</definedName>
    <definedName name="_xlnm.Print_Titles" localSheetId="2">CuadroPresupuesto!$1:$6</definedName>
    <definedName name="_xlnm.Print_Titles" localSheetId="5">DatosEmpleo!$1:$5</definedName>
    <definedName name="_xlnm.Print_Titles" localSheetId="4">PlanFinanciacion!$1:$5</definedName>
    <definedName name="_xlnm.Print_Titles" localSheetId="3">PlanInversion!$1:$5</definedName>
  </definedNames>
  <calcPr calcId="162913" iterateDelta="1E-4"/>
</workbook>
</file>

<file path=xl/calcChain.xml><?xml version="1.0" encoding="utf-8"?>
<calcChain xmlns="http://schemas.openxmlformats.org/spreadsheetml/2006/main">
  <c r="K81" i="1" l="1"/>
  <c r="K80" i="1" s="1"/>
  <c r="K79" i="1" s="1"/>
  <c r="K78" i="1" s="1"/>
  <c r="L1" i="1" l="1"/>
  <c r="J11" i="9"/>
  <c r="B5" i="8"/>
  <c r="B4" i="8"/>
  <c r="B3" i="8"/>
  <c r="B2" i="8"/>
  <c r="B5" i="7"/>
  <c r="B4" i="7"/>
  <c r="B3" i="7"/>
  <c r="B2" i="7"/>
  <c r="B5" i="6"/>
  <c r="B4" i="6"/>
  <c r="B3" i="6"/>
  <c r="B2" i="6"/>
  <c r="B5" i="9"/>
  <c r="B4" i="9"/>
  <c r="B3" i="9"/>
  <c r="B2" i="9"/>
  <c r="B5" i="5"/>
  <c r="B4" i="5"/>
  <c r="B2" i="5"/>
  <c r="B3" i="5"/>
  <c r="F11" i="5"/>
  <c r="H11" i="5" s="1"/>
  <c r="F36" i="5"/>
  <c r="H36" i="5" s="1"/>
  <c r="H33" i="5"/>
  <c r="J33" i="5" s="1"/>
  <c r="H32" i="5"/>
  <c r="H31" i="5"/>
  <c r="F32" i="5"/>
  <c r="F31" i="5"/>
  <c r="E51" i="5"/>
  <c r="H53" i="5"/>
  <c r="H52" i="5"/>
  <c r="J52" i="5" s="1"/>
  <c r="F53" i="5"/>
  <c r="F52" i="5"/>
  <c r="H47" i="5"/>
  <c r="H46" i="5"/>
  <c r="H45" i="5"/>
  <c r="H44" i="5"/>
  <c r="J44" i="5" s="1"/>
  <c r="H43" i="5"/>
  <c r="H42" i="5"/>
  <c r="J76" i="5"/>
  <c r="J75" i="5"/>
  <c r="J73" i="5"/>
  <c r="J17" i="5"/>
  <c r="J16" i="5"/>
  <c r="J15" i="5"/>
  <c r="J14" i="5"/>
  <c r="J13" i="5"/>
  <c r="J12" i="5"/>
  <c r="J26" i="5"/>
  <c r="J25" i="5"/>
  <c r="J24" i="5"/>
  <c r="J23" i="5"/>
  <c r="J22" i="5"/>
  <c r="J21" i="5"/>
  <c r="J20" i="5"/>
  <c r="J19" i="5"/>
  <c r="J30" i="5"/>
  <c r="J40" i="5"/>
  <c r="J39" i="5"/>
  <c r="J38" i="5"/>
  <c r="J37" i="5"/>
  <c r="J35" i="5"/>
  <c r="J48" i="5"/>
  <c r="J47" i="5"/>
  <c r="J46" i="5"/>
  <c r="J45" i="5"/>
  <c r="J43" i="5"/>
  <c r="J42" i="5"/>
  <c r="J83" i="5"/>
  <c r="J72" i="5"/>
  <c r="J71" i="5"/>
  <c r="J70" i="5"/>
  <c r="J69" i="5"/>
  <c r="J68" i="5"/>
  <c r="J66" i="5"/>
  <c r="J65" i="5"/>
  <c r="J64" i="5"/>
  <c r="J62" i="5"/>
  <c r="J61" i="5"/>
  <c r="J60" i="5"/>
  <c r="J58" i="5"/>
  <c r="J57" i="5"/>
  <c r="J56" i="5"/>
  <c r="J55" i="5"/>
  <c r="J11" i="5" l="1"/>
  <c r="L34" i="8"/>
  <c r="L32" i="8"/>
  <c r="L27" i="8"/>
  <c r="L26" i="8"/>
  <c r="K22" i="8" l="1"/>
  <c r="J22" i="8"/>
  <c r="I22" i="8"/>
  <c r="H22" i="8"/>
  <c r="G22" i="8"/>
  <c r="F22" i="8"/>
  <c r="E22" i="8"/>
  <c r="L23" i="8"/>
  <c r="H48" i="9" l="1"/>
  <c r="E5" i="6"/>
  <c r="K30" i="6"/>
  <c r="K29" i="6"/>
  <c r="K28" i="6"/>
  <c r="K27" i="6"/>
  <c r="K26" i="6"/>
  <c r="K25" i="6"/>
  <c r="K24" i="6"/>
  <c r="K23" i="6"/>
  <c r="K20" i="6"/>
  <c r="K19" i="6"/>
  <c r="K18" i="6"/>
  <c r="K17" i="6"/>
  <c r="K16" i="6"/>
  <c r="K15" i="6"/>
  <c r="K14" i="6"/>
  <c r="K13" i="6"/>
  <c r="K12" i="6"/>
  <c r="K11" i="6"/>
  <c r="K10" i="6"/>
  <c r="L47" i="9" l="1"/>
  <c r="L46" i="9"/>
  <c r="L45" i="9"/>
  <c r="L44" i="9"/>
  <c r="L43" i="9"/>
  <c r="L42" i="9"/>
  <c r="L40" i="9"/>
  <c r="L39" i="9"/>
  <c r="L38" i="9"/>
  <c r="L37" i="9"/>
  <c r="L36" i="9"/>
  <c r="L35" i="9"/>
  <c r="L34" i="9"/>
  <c r="L33" i="9"/>
  <c r="L32" i="9"/>
  <c r="L31" i="9"/>
  <c r="L30" i="9"/>
  <c r="L29" i="9"/>
  <c r="L28" i="9"/>
  <c r="L27" i="9"/>
  <c r="L26" i="9"/>
  <c r="L25" i="9"/>
  <c r="L24" i="9"/>
  <c r="L23" i="9"/>
  <c r="L22" i="9"/>
  <c r="L21" i="9"/>
  <c r="L20" i="9"/>
  <c r="L19" i="9"/>
  <c r="L18" i="9"/>
  <c r="L17" i="9"/>
  <c r="L16" i="9"/>
  <c r="L15" i="9"/>
  <c r="L13" i="9"/>
  <c r="L12" i="9"/>
  <c r="K54" i="9" l="1"/>
  <c r="K53" i="9"/>
  <c r="K52" i="9"/>
  <c r="K51" i="9"/>
  <c r="K50" i="9"/>
  <c r="K49" i="9"/>
  <c r="K47" i="9"/>
  <c r="K46" i="9"/>
  <c r="K45" i="9"/>
  <c r="K44" i="9"/>
  <c r="K43" i="9"/>
  <c r="K42" i="9"/>
  <c r="K41" i="9" s="1"/>
  <c r="K40" i="9"/>
  <c r="K39" i="9"/>
  <c r="K38" i="9"/>
  <c r="K37" i="9"/>
  <c r="K36" i="9"/>
  <c r="K35" i="9"/>
  <c r="K34" i="9"/>
  <c r="K33" i="9"/>
  <c r="K32" i="9"/>
  <c r="K31" i="9"/>
  <c r="K30" i="9"/>
  <c r="K29" i="9"/>
  <c r="K28" i="9"/>
  <c r="K27" i="9"/>
  <c r="K26" i="9"/>
  <c r="K25" i="9"/>
  <c r="K24" i="9"/>
  <c r="K23" i="9"/>
  <c r="K22" i="9"/>
  <c r="K21" i="9"/>
  <c r="K20" i="9"/>
  <c r="K19" i="9"/>
  <c r="K18" i="9"/>
  <c r="K17" i="9"/>
  <c r="K16" i="9"/>
  <c r="K15" i="9"/>
  <c r="K13" i="9"/>
  <c r="K12" i="9"/>
  <c r="K11" i="9"/>
  <c r="K22" i="6" l="1"/>
  <c r="L11" i="9"/>
  <c r="K48" i="9"/>
  <c r="F66" i="5"/>
  <c r="H66" i="5" s="1"/>
  <c r="F65" i="5"/>
  <c r="H65" i="5" s="1"/>
  <c r="C5" i="9"/>
  <c r="M11" i="9" l="1"/>
  <c r="M54" i="9"/>
  <c r="M53" i="9"/>
  <c r="M52" i="9"/>
  <c r="M51" i="9"/>
  <c r="M50" i="9"/>
  <c r="M49" i="9"/>
  <c r="M47" i="9"/>
  <c r="M46" i="9"/>
  <c r="M45" i="9"/>
  <c r="M44" i="9"/>
  <c r="M43" i="9"/>
  <c r="M42" i="9"/>
  <c r="M40" i="9"/>
  <c r="M39" i="9"/>
  <c r="M38" i="9"/>
  <c r="M37" i="9"/>
  <c r="M36" i="9"/>
  <c r="M35" i="9"/>
  <c r="M34" i="9"/>
  <c r="M33" i="9"/>
  <c r="M32" i="9"/>
  <c r="M31" i="9"/>
  <c r="M30" i="9"/>
  <c r="M29" i="9"/>
  <c r="M28" i="9"/>
  <c r="M27" i="9"/>
  <c r="M26" i="9"/>
  <c r="M25" i="9"/>
  <c r="M24" i="9"/>
  <c r="M23" i="9"/>
  <c r="M22" i="9"/>
  <c r="M21" i="9"/>
  <c r="M20" i="9"/>
  <c r="M19" i="9"/>
  <c r="M18" i="9"/>
  <c r="M17" i="9"/>
  <c r="M16" i="9"/>
  <c r="M15" i="9"/>
  <c r="M14" i="9"/>
  <c r="M13" i="9"/>
  <c r="M12" i="9"/>
  <c r="H54" i="9" l="1"/>
  <c r="J54" i="9" s="1"/>
  <c r="H53" i="9"/>
  <c r="J53" i="9" s="1"/>
  <c r="H52" i="9"/>
  <c r="J52" i="9" s="1"/>
  <c r="H51" i="9"/>
  <c r="J51" i="9" s="1"/>
  <c r="H50" i="9"/>
  <c r="J50" i="9" s="1"/>
  <c r="H49" i="9"/>
  <c r="J49" i="9" s="1"/>
  <c r="H47" i="9"/>
  <c r="J47" i="9" s="1"/>
  <c r="H46" i="9"/>
  <c r="J46" i="9" s="1"/>
  <c r="H45" i="9"/>
  <c r="J45" i="9" s="1"/>
  <c r="H44" i="9"/>
  <c r="J44" i="9" s="1"/>
  <c r="H43" i="9"/>
  <c r="J43" i="9" s="1"/>
  <c r="H42" i="9"/>
  <c r="J42" i="9" s="1"/>
  <c r="H40" i="9"/>
  <c r="J40" i="9" s="1"/>
  <c r="H39" i="9"/>
  <c r="J39" i="9" s="1"/>
  <c r="H38" i="9"/>
  <c r="J38" i="9" s="1"/>
  <c r="H37" i="9"/>
  <c r="J37" i="9" s="1"/>
  <c r="H36" i="9"/>
  <c r="J36" i="9" s="1"/>
  <c r="H35" i="9"/>
  <c r="J35" i="9" s="1"/>
  <c r="H34" i="9"/>
  <c r="J34" i="9" s="1"/>
  <c r="H33" i="9"/>
  <c r="J33" i="9" s="1"/>
  <c r="H32" i="9"/>
  <c r="J32" i="9" s="1"/>
  <c r="H31" i="9"/>
  <c r="J31" i="9" s="1"/>
  <c r="H30" i="9"/>
  <c r="J30" i="9" s="1"/>
  <c r="H29" i="9"/>
  <c r="J29" i="9" s="1"/>
  <c r="H28" i="9"/>
  <c r="J28" i="9" s="1"/>
  <c r="H27" i="9"/>
  <c r="J27" i="9" s="1"/>
  <c r="H26" i="9"/>
  <c r="J26" i="9" s="1"/>
  <c r="H25" i="9"/>
  <c r="J25" i="9" s="1"/>
  <c r="H24" i="9"/>
  <c r="J24" i="9" s="1"/>
  <c r="H23" i="9"/>
  <c r="J23" i="9" s="1"/>
  <c r="H22" i="9"/>
  <c r="J22" i="9" s="1"/>
  <c r="H21" i="9"/>
  <c r="J21" i="9" s="1"/>
  <c r="H20" i="9"/>
  <c r="J20" i="9" s="1"/>
  <c r="H19" i="9"/>
  <c r="J19" i="9" s="1"/>
  <c r="H18" i="9"/>
  <c r="J18" i="9" s="1"/>
  <c r="H17" i="9"/>
  <c r="J17" i="9" s="1"/>
  <c r="H16" i="9"/>
  <c r="J16" i="9" s="1"/>
  <c r="H15" i="9"/>
  <c r="J15" i="9" s="1"/>
  <c r="H14" i="9"/>
  <c r="H13" i="9"/>
  <c r="J13" i="9" s="1"/>
  <c r="J14" i="9" l="1"/>
  <c r="K14" i="9" s="1"/>
  <c r="K10" i="9" s="1"/>
  <c r="L14" i="9"/>
  <c r="B55" i="9"/>
  <c r="D280" i="1" l="1"/>
  <c r="D40" i="8" s="1"/>
  <c r="C280" i="1"/>
  <c r="C281" i="1"/>
  <c r="C60" i="9" s="1"/>
  <c r="C4" i="9"/>
  <c r="C3" i="9"/>
  <c r="C2" i="9"/>
  <c r="D59" i="9" l="1"/>
  <c r="D36" i="6"/>
  <c r="D42" i="7"/>
  <c r="E6" i="9"/>
  <c r="A46" i="2"/>
  <c r="H12" i="9"/>
  <c r="J12" i="9" s="1"/>
  <c r="H11" i="9"/>
  <c r="L10" i="9" l="1"/>
  <c r="L41" i="9"/>
  <c r="H41" i="9"/>
  <c r="J10" i="9"/>
  <c r="K9" i="9"/>
  <c r="J48" i="9"/>
  <c r="H10" i="9"/>
  <c r="J41" i="9"/>
  <c r="K21" i="6" l="1"/>
  <c r="K9" i="6"/>
  <c r="H9" i="9"/>
  <c r="L9" i="9"/>
  <c r="C11" i="1" s="1"/>
  <c r="J9" i="9"/>
  <c r="K8" i="6" l="1"/>
  <c r="B38" i="7" l="1"/>
  <c r="B36" i="8" s="1"/>
  <c r="B32" i="6"/>
  <c r="B95" i="5"/>
  <c r="K50" i="5" l="1"/>
  <c r="O3" i="5"/>
  <c r="Q3" i="5"/>
  <c r="M3" i="5"/>
  <c r="H32" i="1" l="1"/>
  <c r="E7" i="7" l="1"/>
  <c r="E7" i="6"/>
  <c r="E10" i="8"/>
  <c r="D99" i="5"/>
  <c r="I30" i="6"/>
  <c r="I29" i="6"/>
  <c r="I28" i="6"/>
  <c r="I27" i="6"/>
  <c r="I26" i="6"/>
  <c r="I25" i="6"/>
  <c r="I24" i="6"/>
  <c r="I23" i="6"/>
  <c r="I22" i="6"/>
  <c r="I20" i="6"/>
  <c r="I19" i="6"/>
  <c r="I18" i="6"/>
  <c r="I17" i="6"/>
  <c r="I16" i="6"/>
  <c r="I15" i="6"/>
  <c r="I14" i="6"/>
  <c r="I13" i="6"/>
  <c r="I12" i="6"/>
  <c r="I11" i="6"/>
  <c r="I10" i="6"/>
  <c r="L33" i="8" l="1"/>
  <c r="H38" i="1" s="1"/>
  <c r="L31" i="8"/>
  <c r="H36" i="1" s="1"/>
  <c r="K33" i="8"/>
  <c r="J33" i="8"/>
  <c r="I33" i="8"/>
  <c r="H33" i="8"/>
  <c r="G33" i="8"/>
  <c r="F33" i="8"/>
  <c r="E33" i="8"/>
  <c r="H31" i="1"/>
  <c r="L30" i="8"/>
  <c r="L29" i="8"/>
  <c r="K28" i="8"/>
  <c r="J28" i="8"/>
  <c r="I28" i="8"/>
  <c r="H28" i="8"/>
  <c r="G28" i="8"/>
  <c r="F28" i="8"/>
  <c r="E28" i="8"/>
  <c r="K25" i="8"/>
  <c r="J25" i="8"/>
  <c r="I25" i="8"/>
  <c r="H25" i="8"/>
  <c r="G25" i="8"/>
  <c r="F25" i="8"/>
  <c r="E25" i="8"/>
  <c r="K16" i="8"/>
  <c r="J16" i="8"/>
  <c r="I16" i="8"/>
  <c r="H16" i="8"/>
  <c r="G16" i="8"/>
  <c r="F16" i="8"/>
  <c r="L14" i="8"/>
  <c r="L21" i="8"/>
  <c r="L20" i="8"/>
  <c r="L18" i="8"/>
  <c r="L17" i="8"/>
  <c r="K19" i="8"/>
  <c r="J19" i="8"/>
  <c r="I19" i="8"/>
  <c r="H19" i="8"/>
  <c r="G19" i="8"/>
  <c r="F19" i="8"/>
  <c r="E19" i="8"/>
  <c r="E16" i="8"/>
  <c r="K31" i="8"/>
  <c r="J31" i="8"/>
  <c r="I31" i="8"/>
  <c r="H31" i="8"/>
  <c r="G31" i="8"/>
  <c r="F31" i="8"/>
  <c r="E31" i="8"/>
  <c r="H12" i="8"/>
  <c r="G12" i="8"/>
  <c r="E24" i="8" l="1"/>
  <c r="I24" i="8"/>
  <c r="H29" i="1" s="1"/>
  <c r="H37" i="1"/>
  <c r="L19" i="8"/>
  <c r="G24" i="8"/>
  <c r="K24" i="8"/>
  <c r="H24" i="8"/>
  <c r="H28" i="1" s="1"/>
  <c r="H39" i="1"/>
  <c r="F24" i="8"/>
  <c r="J24" i="8"/>
  <c r="H30" i="1" s="1"/>
  <c r="L28" i="8"/>
  <c r="F15" i="8"/>
  <c r="F13" i="8" s="1"/>
  <c r="J15" i="8"/>
  <c r="J13" i="8" s="1"/>
  <c r="H22" i="1" s="1"/>
  <c r="G15" i="8"/>
  <c r="G13" i="8" s="1"/>
  <c r="K15" i="8"/>
  <c r="K13" i="8" s="1"/>
  <c r="H40" i="1" s="1"/>
  <c r="H27" i="1"/>
  <c r="H15" i="8"/>
  <c r="H13" i="8" s="1"/>
  <c r="L16" i="8"/>
  <c r="L25" i="8"/>
  <c r="L24" i="8" s="1"/>
  <c r="I15" i="8"/>
  <c r="I13" i="8" s="1"/>
  <c r="H21" i="1" s="1"/>
  <c r="E15" i="8"/>
  <c r="E13" i="8" s="1"/>
  <c r="C5" i="8"/>
  <c r="C4" i="8"/>
  <c r="C3" i="8"/>
  <c r="C2" i="8"/>
  <c r="F36" i="7"/>
  <c r="H27" i="7"/>
  <c r="G27" i="7"/>
  <c r="E27" i="7"/>
  <c r="H18" i="7"/>
  <c r="H10" i="7"/>
  <c r="G18" i="7"/>
  <c r="G10" i="7"/>
  <c r="C109" i="7"/>
  <c r="D108" i="7"/>
  <c r="E18" i="7"/>
  <c r="E10" i="7"/>
  <c r="C5" i="7"/>
  <c r="C4" i="7"/>
  <c r="C108" i="7" s="1"/>
  <c r="C3" i="7"/>
  <c r="C2" i="7"/>
  <c r="F20" i="5"/>
  <c r="E41" i="5"/>
  <c r="E84" i="5" s="1"/>
  <c r="F42" i="5"/>
  <c r="C42" i="5"/>
  <c r="E34" i="5"/>
  <c r="E86" i="5" s="1"/>
  <c r="F35" i="5"/>
  <c r="H35" i="5" s="1"/>
  <c r="C35" i="5"/>
  <c r="E29" i="5"/>
  <c r="E92" i="5" s="1"/>
  <c r="E18" i="5"/>
  <c r="C30" i="5"/>
  <c r="C19" i="5"/>
  <c r="F30" i="5"/>
  <c r="H30" i="5" s="1"/>
  <c r="F19" i="5"/>
  <c r="G19" i="5" s="1"/>
  <c r="F13" i="5"/>
  <c r="H13" i="5" s="1"/>
  <c r="L13" i="5" s="1"/>
  <c r="E21" i="6"/>
  <c r="E9" i="6"/>
  <c r="C5" i="6"/>
  <c r="C4" i="6"/>
  <c r="C3" i="6"/>
  <c r="C2" i="6"/>
  <c r="C5" i="5"/>
  <c r="C4" i="5"/>
  <c r="C3" i="5"/>
  <c r="C2" i="5"/>
  <c r="E87" i="5"/>
  <c r="L22" i="8" l="1"/>
  <c r="H26" i="1" s="1"/>
  <c r="L15" i="8"/>
  <c r="H19" i="1"/>
  <c r="H20" i="1"/>
  <c r="K30" i="5"/>
  <c r="L30" i="5"/>
  <c r="M30" i="5" s="1"/>
  <c r="K35" i="5"/>
  <c r="L35" i="5"/>
  <c r="P13" i="5"/>
  <c r="Q13" i="5" s="1"/>
  <c r="K42" i="5"/>
  <c r="L42" i="5"/>
  <c r="M42" i="5" s="1"/>
  <c r="E85" i="5"/>
  <c r="E8" i="6"/>
  <c r="L13" i="8"/>
  <c r="H18" i="1" s="1"/>
  <c r="E9" i="7"/>
  <c r="G9" i="6"/>
  <c r="G35" i="5"/>
  <c r="H19" i="5"/>
  <c r="G42" i="5"/>
  <c r="I42" i="5"/>
  <c r="N42" i="5"/>
  <c r="E93" i="5"/>
  <c r="E91" i="5" s="1"/>
  <c r="I35" i="5"/>
  <c r="N35" i="5"/>
  <c r="G30" i="5"/>
  <c r="I30" i="5"/>
  <c r="N30" i="5"/>
  <c r="G21" i="6"/>
  <c r="M35" i="5" l="1"/>
  <c r="O42" i="5"/>
  <c r="O35" i="5"/>
  <c r="O30" i="5"/>
  <c r="P42" i="5"/>
  <c r="Q42" i="5" s="1"/>
  <c r="P35" i="5"/>
  <c r="Q35" i="5" s="1"/>
  <c r="I19" i="5"/>
  <c r="L19" i="5"/>
  <c r="M19" i="5" s="1"/>
  <c r="P30" i="5"/>
  <c r="Q30" i="5" s="1"/>
  <c r="F28" i="6"/>
  <c r="F24" i="6"/>
  <c r="F27" i="6"/>
  <c r="F23" i="6"/>
  <c r="F29" i="6"/>
  <c r="F21" i="6"/>
  <c r="F30" i="6"/>
  <c r="F26" i="6"/>
  <c r="F22" i="6"/>
  <c r="F25" i="6"/>
  <c r="F20" i="6"/>
  <c r="F16" i="6"/>
  <c r="F12" i="6"/>
  <c r="F11" i="6"/>
  <c r="F13" i="6"/>
  <c r="F19" i="6"/>
  <c r="F15" i="6"/>
  <c r="F18" i="6"/>
  <c r="F14" i="6"/>
  <c r="F17" i="6"/>
  <c r="F10" i="6"/>
  <c r="F9" i="6"/>
  <c r="G8" i="6"/>
  <c r="K19" i="5"/>
  <c r="N19" i="5"/>
  <c r="O19" i="5" l="1"/>
  <c r="P19" i="5"/>
  <c r="Q19" i="5" s="1"/>
  <c r="P11" i="5"/>
  <c r="Q11" i="5" s="1"/>
  <c r="H30" i="6"/>
  <c r="H26" i="6"/>
  <c r="H22" i="6"/>
  <c r="H18" i="6"/>
  <c r="H14" i="6"/>
  <c r="H10" i="6"/>
  <c r="H27" i="6"/>
  <c r="H19" i="6"/>
  <c r="H11" i="6"/>
  <c r="H29" i="6"/>
  <c r="H25" i="6"/>
  <c r="H21" i="6"/>
  <c r="H17" i="6"/>
  <c r="H13" i="6"/>
  <c r="H23" i="6"/>
  <c r="H15" i="6"/>
  <c r="H28" i="6"/>
  <c r="H24" i="6"/>
  <c r="H20" i="6"/>
  <c r="H16" i="6"/>
  <c r="H12" i="6"/>
  <c r="H9" i="6"/>
  <c r="I9" i="6"/>
  <c r="I21" i="6"/>
  <c r="J50" i="5"/>
  <c r="J78" i="5" s="1"/>
  <c r="F76" i="5"/>
  <c r="H76" i="5" s="1"/>
  <c r="F75" i="5"/>
  <c r="F73" i="5"/>
  <c r="H73" i="5" s="1"/>
  <c r="F72" i="5"/>
  <c r="H72" i="5" s="1"/>
  <c r="F71" i="5"/>
  <c r="F70" i="5"/>
  <c r="F69" i="5"/>
  <c r="H69" i="5" s="1"/>
  <c r="F68" i="5"/>
  <c r="H68" i="5" s="1"/>
  <c r="G66" i="5"/>
  <c r="F64" i="5"/>
  <c r="F62" i="5"/>
  <c r="H62" i="5" s="1"/>
  <c r="F61" i="5"/>
  <c r="H61" i="5" s="1"/>
  <c r="F60" i="5"/>
  <c r="H60" i="5" s="1"/>
  <c r="F58" i="5"/>
  <c r="H58" i="5" s="1"/>
  <c r="I58" i="5" s="1"/>
  <c r="F57" i="5"/>
  <c r="H57" i="5" s="1"/>
  <c r="F56" i="5"/>
  <c r="H56" i="5" s="1"/>
  <c r="F55" i="5"/>
  <c r="H55" i="5" s="1"/>
  <c r="L55" i="5" s="1"/>
  <c r="J53" i="5"/>
  <c r="L52" i="5"/>
  <c r="P52" i="5" s="1"/>
  <c r="Q52" i="5" s="1"/>
  <c r="F48" i="5"/>
  <c r="F47" i="5"/>
  <c r="F46" i="5"/>
  <c r="F45" i="5"/>
  <c r="F44" i="5"/>
  <c r="F43" i="5"/>
  <c r="F40" i="5"/>
  <c r="H40" i="5" s="1"/>
  <c r="L40" i="5" s="1"/>
  <c r="F39" i="5"/>
  <c r="H39" i="5" s="1"/>
  <c r="L39" i="5" s="1"/>
  <c r="F38" i="5"/>
  <c r="H38" i="5" s="1"/>
  <c r="L38" i="5" s="1"/>
  <c r="F37" i="5"/>
  <c r="H37" i="5" s="1"/>
  <c r="L37" i="5" s="1"/>
  <c r="F33" i="5"/>
  <c r="L33" i="5" s="1"/>
  <c r="F26" i="5"/>
  <c r="F25" i="5"/>
  <c r="F24" i="5"/>
  <c r="F23" i="5"/>
  <c r="F22" i="5"/>
  <c r="F21" i="5"/>
  <c r="F17" i="5"/>
  <c r="H17" i="5" s="1"/>
  <c r="L17" i="5" s="1"/>
  <c r="F16" i="5"/>
  <c r="F15" i="5"/>
  <c r="F14" i="5"/>
  <c r="H14" i="5" s="1"/>
  <c r="L14" i="5" s="1"/>
  <c r="F12" i="5"/>
  <c r="E54" i="5"/>
  <c r="F87" i="5" l="1"/>
  <c r="I76" i="5"/>
  <c r="K52" i="5"/>
  <c r="P37" i="5"/>
  <c r="Q37" i="5" s="1"/>
  <c r="P55" i="5"/>
  <c r="Q55" i="5" s="1"/>
  <c r="P33" i="5"/>
  <c r="Q33" i="5" s="1"/>
  <c r="P17" i="5"/>
  <c r="Q17" i="5" s="1"/>
  <c r="P38" i="5"/>
  <c r="Q38" i="5" s="1"/>
  <c r="I56" i="5"/>
  <c r="L56" i="5"/>
  <c r="I57" i="5"/>
  <c r="L57" i="5"/>
  <c r="P14" i="5"/>
  <c r="Q14" i="5" s="1"/>
  <c r="P39" i="5"/>
  <c r="Q39" i="5" s="1"/>
  <c r="P40" i="5"/>
  <c r="Q40" i="5" s="1"/>
  <c r="I8" i="6"/>
  <c r="G72" i="5"/>
  <c r="G68" i="5"/>
  <c r="F41" i="5"/>
  <c r="F84" i="5" s="1"/>
  <c r="G84" i="5" s="1"/>
  <c r="F18" i="5"/>
  <c r="F29" i="5"/>
  <c r="F92" i="5" s="1"/>
  <c r="J36" i="5"/>
  <c r="F34" i="5"/>
  <c r="F86" i="5" s="1"/>
  <c r="G58" i="5"/>
  <c r="H15" i="5"/>
  <c r="K57" i="5"/>
  <c r="K40" i="5"/>
  <c r="H22" i="5"/>
  <c r="N57" i="5"/>
  <c r="H26" i="5"/>
  <c r="K65" i="5"/>
  <c r="K62" i="5"/>
  <c r="I68" i="5"/>
  <c r="K68" i="5"/>
  <c r="I72" i="5"/>
  <c r="K72" i="5"/>
  <c r="K13" i="5"/>
  <c r="K17" i="5"/>
  <c r="N17" i="5"/>
  <c r="O17" i="5" s="1"/>
  <c r="K37" i="5"/>
  <c r="N37" i="5"/>
  <c r="O37" i="5" s="1"/>
  <c r="H71" i="5"/>
  <c r="K32" i="5"/>
  <c r="H12" i="5"/>
  <c r="L12" i="5" s="1"/>
  <c r="H23" i="5"/>
  <c r="L31" i="5"/>
  <c r="L43" i="5"/>
  <c r="I66" i="5"/>
  <c r="N14" i="5"/>
  <c r="O14" i="5" s="1"/>
  <c r="N38" i="5"/>
  <c r="O38" i="5" s="1"/>
  <c r="L58" i="5"/>
  <c r="K14" i="5"/>
  <c r="K33" i="5"/>
  <c r="K38" i="5"/>
  <c r="K58" i="5"/>
  <c r="K69" i="5"/>
  <c r="K73" i="5"/>
  <c r="H20" i="5"/>
  <c r="L20" i="5" s="1"/>
  <c r="H24" i="5"/>
  <c r="H48" i="5"/>
  <c r="N33" i="5"/>
  <c r="O33" i="5" s="1"/>
  <c r="N39" i="5"/>
  <c r="O39" i="5" s="1"/>
  <c r="N55" i="5"/>
  <c r="O55" i="5" s="1"/>
  <c r="L60" i="5"/>
  <c r="K39" i="5"/>
  <c r="K55" i="5"/>
  <c r="K60" i="5"/>
  <c r="G71" i="5"/>
  <c r="G76" i="5"/>
  <c r="H21" i="5"/>
  <c r="L21" i="5" s="1"/>
  <c r="H25" i="5"/>
  <c r="H70" i="5"/>
  <c r="N40" i="5"/>
  <c r="O40" i="5" s="1"/>
  <c r="N56" i="5"/>
  <c r="L61" i="5"/>
  <c r="K56" i="5"/>
  <c r="K61" i="5"/>
  <c r="K76" i="5"/>
  <c r="F51" i="5"/>
  <c r="F80" i="5" s="1"/>
  <c r="G53" i="5"/>
  <c r="G87" i="5"/>
  <c r="H16" i="5"/>
  <c r="H75" i="5"/>
  <c r="H64" i="5"/>
  <c r="G64" i="5"/>
  <c r="F54" i="5"/>
  <c r="G54" i="5" s="1"/>
  <c r="G56" i="5"/>
  <c r="G75" i="5"/>
  <c r="G65" i="5"/>
  <c r="G57" i="5"/>
  <c r="H54" i="5"/>
  <c r="I55" i="5"/>
  <c r="G70" i="5"/>
  <c r="G55" i="5"/>
  <c r="G60" i="5"/>
  <c r="I60" i="5"/>
  <c r="G62" i="5"/>
  <c r="I52" i="5"/>
  <c r="I69" i="5"/>
  <c r="I61" i="5"/>
  <c r="I62" i="5"/>
  <c r="G69" i="5"/>
  <c r="G52" i="5"/>
  <c r="L32" i="5" l="1"/>
  <c r="J32" i="5"/>
  <c r="N32" i="5" s="1"/>
  <c r="O32" i="5" s="1"/>
  <c r="J31" i="5"/>
  <c r="L76" i="5"/>
  <c r="P76" i="5" s="1"/>
  <c r="Q76" i="5" s="1"/>
  <c r="N76" i="5"/>
  <c r="N73" i="5"/>
  <c r="L73" i="5"/>
  <c r="P73" i="5" s="1"/>
  <c r="Q73" i="5" s="1"/>
  <c r="L72" i="5"/>
  <c r="P72" i="5" s="1"/>
  <c r="Q72" i="5" s="1"/>
  <c r="N72" i="5"/>
  <c r="O72" i="5" s="1"/>
  <c r="N69" i="5"/>
  <c r="L69" i="5"/>
  <c r="P69" i="5" s="1"/>
  <c r="Q69" i="5" s="1"/>
  <c r="L68" i="5"/>
  <c r="P68" i="5" s="1"/>
  <c r="Q68" i="5" s="1"/>
  <c r="N68" i="5"/>
  <c r="O68" i="5" s="1"/>
  <c r="L62" i="5"/>
  <c r="P62" i="5" s="1"/>
  <c r="Q62" i="5" s="1"/>
  <c r="N62" i="5"/>
  <c r="M52" i="5"/>
  <c r="N52" i="5"/>
  <c r="O52" i="5" s="1"/>
  <c r="M17" i="5"/>
  <c r="M40" i="5"/>
  <c r="M39" i="5"/>
  <c r="M38" i="5"/>
  <c r="M33" i="5"/>
  <c r="I75" i="5"/>
  <c r="I71" i="5"/>
  <c r="K70" i="5"/>
  <c r="I64" i="5"/>
  <c r="M55" i="5"/>
  <c r="M37" i="5"/>
  <c r="M14" i="5"/>
  <c r="N13" i="5"/>
  <c r="O13" i="5" s="1"/>
  <c r="M13" i="5"/>
  <c r="M60" i="5"/>
  <c r="N60" i="5"/>
  <c r="O60" i="5" s="1"/>
  <c r="M56" i="5"/>
  <c r="O56" i="5"/>
  <c r="M61" i="5"/>
  <c r="N61" i="5"/>
  <c r="O61" i="5" s="1"/>
  <c r="N58" i="5"/>
  <c r="M58" i="5"/>
  <c r="M57" i="5"/>
  <c r="O57" i="5"/>
  <c r="P61" i="5"/>
  <c r="Q61" i="5" s="1"/>
  <c r="P60" i="5"/>
  <c r="Q60" i="5" s="1"/>
  <c r="K48" i="5"/>
  <c r="L48" i="5"/>
  <c r="P58" i="5"/>
  <c r="Q58" i="5" s="1"/>
  <c r="I53" i="5"/>
  <c r="L53" i="5"/>
  <c r="P21" i="5"/>
  <c r="Q21" i="5" s="1"/>
  <c r="P57" i="5"/>
  <c r="Q57" i="5" s="1"/>
  <c r="P56" i="5"/>
  <c r="Q56" i="5" s="1"/>
  <c r="L54" i="5"/>
  <c r="N47" i="5"/>
  <c r="L47" i="5"/>
  <c r="K46" i="5"/>
  <c r="L46" i="5"/>
  <c r="N45" i="5"/>
  <c r="L45" i="5"/>
  <c r="N44" i="5"/>
  <c r="L44" i="5"/>
  <c r="M44" i="5" s="1"/>
  <c r="P43" i="5"/>
  <c r="Q43" i="5" s="1"/>
  <c r="H34" i="5"/>
  <c r="H86" i="5" s="1"/>
  <c r="K86" i="5" s="1"/>
  <c r="L36" i="5"/>
  <c r="P31" i="5"/>
  <c r="Q31" i="5" s="1"/>
  <c r="L87" i="5"/>
  <c r="K26" i="5"/>
  <c r="L26" i="5"/>
  <c r="M26" i="5" s="1"/>
  <c r="K25" i="5"/>
  <c r="L25" i="5"/>
  <c r="K24" i="5"/>
  <c r="L24" i="5"/>
  <c r="N23" i="5"/>
  <c r="L23" i="5"/>
  <c r="K22" i="5"/>
  <c r="L22" i="5"/>
  <c r="P20" i="5"/>
  <c r="Q20" i="5" s="1"/>
  <c r="K16" i="5"/>
  <c r="L16" i="5"/>
  <c r="K15" i="5"/>
  <c r="L15" i="5"/>
  <c r="P12" i="5"/>
  <c r="Q12" i="5" s="1"/>
  <c r="F85" i="5"/>
  <c r="G85" i="5" s="1"/>
  <c r="G5" i="7"/>
  <c r="E5" i="7"/>
  <c r="H8" i="6"/>
  <c r="J8" i="6"/>
  <c r="F8" i="6"/>
  <c r="J30" i="6"/>
  <c r="J26" i="6"/>
  <c r="J22" i="6"/>
  <c r="J18" i="6"/>
  <c r="J14" i="6"/>
  <c r="J23" i="6"/>
  <c r="J11" i="6"/>
  <c r="J29" i="6"/>
  <c r="J25" i="6"/>
  <c r="J21" i="6"/>
  <c r="J17" i="6"/>
  <c r="J13" i="6"/>
  <c r="J28" i="6"/>
  <c r="J24" i="6"/>
  <c r="J20" i="6"/>
  <c r="J16" i="6"/>
  <c r="J12" i="6"/>
  <c r="J27" i="6"/>
  <c r="J19" i="6"/>
  <c r="J15" i="6"/>
  <c r="J10" i="6"/>
  <c r="J9" i="6"/>
  <c r="G86" i="5"/>
  <c r="E59" i="5"/>
  <c r="E63" i="5" s="1"/>
  <c r="E80" i="5"/>
  <c r="K36" i="5"/>
  <c r="G92" i="5"/>
  <c r="H29" i="5"/>
  <c r="H92" i="5" s="1"/>
  <c r="J92" i="5" s="1"/>
  <c r="N31" i="5"/>
  <c r="H87" i="5"/>
  <c r="J87" i="5" s="1"/>
  <c r="F93" i="5"/>
  <c r="N12" i="5"/>
  <c r="K20" i="5"/>
  <c r="N20" i="5"/>
  <c r="N21" i="5"/>
  <c r="O21" i="5" s="1"/>
  <c r="H18" i="5"/>
  <c r="N43" i="5"/>
  <c r="H41" i="5"/>
  <c r="K12" i="5"/>
  <c r="N15" i="5"/>
  <c r="O15" i="5" s="1"/>
  <c r="I65" i="5"/>
  <c r="N46" i="5"/>
  <c r="K54" i="5"/>
  <c r="N22" i="5"/>
  <c r="O22" i="5" s="1"/>
  <c r="N24" i="5"/>
  <c r="O24" i="5" s="1"/>
  <c r="K47" i="5"/>
  <c r="K44" i="5"/>
  <c r="N48" i="5"/>
  <c r="O48" i="5" s="1"/>
  <c r="K64" i="5"/>
  <c r="N26" i="5"/>
  <c r="K21" i="5"/>
  <c r="N16" i="5"/>
  <c r="O16" i="5" s="1"/>
  <c r="I70" i="5"/>
  <c r="K43" i="5"/>
  <c r="K23" i="5"/>
  <c r="K71" i="5"/>
  <c r="I54" i="5"/>
  <c r="J54" i="5"/>
  <c r="N25" i="5"/>
  <c r="K75" i="5"/>
  <c r="K45" i="5"/>
  <c r="K66" i="5"/>
  <c r="K31" i="5"/>
  <c r="F59" i="5"/>
  <c r="K53" i="5"/>
  <c r="H51" i="5"/>
  <c r="N53" i="5"/>
  <c r="G51" i="5"/>
  <c r="G61" i="5"/>
  <c r="I48" i="5"/>
  <c r="G48" i="5"/>
  <c r="I46" i="5"/>
  <c r="G46" i="5"/>
  <c r="I44" i="5"/>
  <c r="G44" i="5"/>
  <c r="I43" i="5"/>
  <c r="G43" i="5"/>
  <c r="I40" i="5"/>
  <c r="G40" i="5"/>
  <c r="I39" i="5"/>
  <c r="G39" i="5"/>
  <c r="I38" i="5"/>
  <c r="G38" i="5"/>
  <c r="I36" i="5"/>
  <c r="G36" i="5"/>
  <c r="I33" i="5"/>
  <c r="G33" i="5"/>
  <c r="I32" i="5"/>
  <c r="G32" i="5"/>
  <c r="I25" i="5"/>
  <c r="G25" i="5"/>
  <c r="I24" i="5"/>
  <c r="G24" i="5"/>
  <c r="I23" i="5"/>
  <c r="G23" i="5"/>
  <c r="I21" i="5"/>
  <c r="G21" i="5"/>
  <c r="I20" i="5"/>
  <c r="G20" i="5"/>
  <c r="I17" i="5"/>
  <c r="G17" i="5"/>
  <c r="I16" i="5"/>
  <c r="G16" i="5"/>
  <c r="I15" i="5"/>
  <c r="G15" i="5"/>
  <c r="I14" i="5"/>
  <c r="G14" i="5"/>
  <c r="I13" i="5"/>
  <c r="G13" i="5"/>
  <c r="M32" i="5" l="1"/>
  <c r="O46" i="5"/>
  <c r="O76" i="5"/>
  <c r="F91" i="5"/>
  <c r="G91" i="5" s="1"/>
  <c r="J86" i="5"/>
  <c r="L29" i="5"/>
  <c r="L92" i="5" s="1"/>
  <c r="P32" i="5"/>
  <c r="Q32" i="5" s="1"/>
  <c r="M62" i="5"/>
  <c r="O62" i="5"/>
  <c r="N51" i="5"/>
  <c r="N80" i="5" s="1"/>
  <c r="M72" i="5"/>
  <c r="M76" i="5"/>
  <c r="N75" i="5"/>
  <c r="L75" i="5"/>
  <c r="P75" i="5" s="1"/>
  <c r="Q75" i="5" s="1"/>
  <c r="O73" i="5"/>
  <c r="M73" i="5"/>
  <c r="N71" i="5"/>
  <c r="L71" i="5"/>
  <c r="P71" i="5" s="1"/>
  <c r="Q71" i="5" s="1"/>
  <c r="N70" i="5"/>
  <c r="L70" i="5"/>
  <c r="P70" i="5" s="1"/>
  <c r="Q70" i="5" s="1"/>
  <c r="O69" i="5"/>
  <c r="M69" i="5"/>
  <c r="M68" i="5"/>
  <c r="L66" i="5"/>
  <c r="P66" i="5" s="1"/>
  <c r="Q66" i="5" s="1"/>
  <c r="N66" i="5"/>
  <c r="O66" i="5" s="1"/>
  <c r="L65" i="5"/>
  <c r="M65" i="5" s="1"/>
  <c r="N65" i="5"/>
  <c r="O65" i="5" s="1"/>
  <c r="N64" i="5"/>
  <c r="L64" i="5"/>
  <c r="P64" i="5" s="1"/>
  <c r="Q64" i="5" s="1"/>
  <c r="O26" i="5"/>
  <c r="M48" i="5"/>
  <c r="M47" i="5"/>
  <c r="M46" i="5"/>
  <c r="O44" i="5"/>
  <c r="M43" i="5"/>
  <c r="M36" i="5"/>
  <c r="M25" i="5"/>
  <c r="M24" i="5"/>
  <c r="M23" i="5"/>
  <c r="M20" i="5"/>
  <c r="M15" i="5"/>
  <c r="M12" i="5"/>
  <c r="G59" i="5"/>
  <c r="M54" i="5"/>
  <c r="M31" i="5"/>
  <c r="M21" i="5"/>
  <c r="M16" i="5"/>
  <c r="O47" i="5"/>
  <c r="O45" i="5"/>
  <c r="L41" i="5"/>
  <c r="L84" i="5" s="1"/>
  <c r="M45" i="5"/>
  <c r="O43" i="5"/>
  <c r="N41" i="5"/>
  <c r="N84" i="5" s="1"/>
  <c r="I86" i="5"/>
  <c r="H85" i="5"/>
  <c r="J34" i="5"/>
  <c r="N36" i="5"/>
  <c r="N87" i="5"/>
  <c r="O87" i="5" s="1"/>
  <c r="O31" i="5"/>
  <c r="N29" i="5"/>
  <c r="O25" i="5"/>
  <c r="O23" i="5"/>
  <c r="L18" i="5"/>
  <c r="L83" i="5" s="1"/>
  <c r="M22" i="5"/>
  <c r="O20" i="5"/>
  <c r="N18" i="5"/>
  <c r="N83" i="5" s="1"/>
  <c r="O12" i="5"/>
  <c r="M53" i="5"/>
  <c r="O53" i="5"/>
  <c r="O58" i="5"/>
  <c r="N54" i="5"/>
  <c r="L10" i="5"/>
  <c r="J29" i="5"/>
  <c r="M29" i="5" s="1"/>
  <c r="P45" i="5"/>
  <c r="Q45" i="5" s="1"/>
  <c r="P47" i="5"/>
  <c r="Q47" i="5" s="1"/>
  <c r="P16" i="5"/>
  <c r="Q16" i="5" s="1"/>
  <c r="P23" i="5"/>
  <c r="Q23" i="5" s="1"/>
  <c r="P25" i="5"/>
  <c r="Q25" i="5" s="1"/>
  <c r="P54" i="5"/>
  <c r="Q54" i="5" s="1"/>
  <c r="P44" i="5"/>
  <c r="Q44" i="5" s="1"/>
  <c r="P46" i="5"/>
  <c r="Q46" i="5" s="1"/>
  <c r="P53" i="5"/>
  <c r="Q53" i="5" s="1"/>
  <c r="L51" i="5"/>
  <c r="P48" i="5"/>
  <c r="Q48" i="5" s="1"/>
  <c r="P15" i="5"/>
  <c r="Q15" i="5" s="1"/>
  <c r="P22" i="5"/>
  <c r="Q22" i="5" s="1"/>
  <c r="P24" i="5"/>
  <c r="Q24" i="5" s="1"/>
  <c r="P26" i="5"/>
  <c r="Q26" i="5" s="1"/>
  <c r="J51" i="5"/>
  <c r="J59" i="5" s="1"/>
  <c r="L34" i="5"/>
  <c r="P36" i="5"/>
  <c r="Q36" i="5" s="1"/>
  <c r="P87" i="5"/>
  <c r="Q87" i="5" s="1"/>
  <c r="I51" i="5"/>
  <c r="H80" i="5"/>
  <c r="J80" i="5" s="1"/>
  <c r="K92" i="5"/>
  <c r="I92" i="5"/>
  <c r="I87" i="5"/>
  <c r="M87" i="5"/>
  <c r="K87" i="5"/>
  <c r="J41" i="5"/>
  <c r="G93" i="5"/>
  <c r="J18" i="5"/>
  <c r="H93" i="5"/>
  <c r="H91" i="5" s="1"/>
  <c r="H84" i="5"/>
  <c r="J84" i="5" s="1"/>
  <c r="F63" i="5"/>
  <c r="G63" i="5" s="1"/>
  <c r="H59" i="5"/>
  <c r="I59" i="5" s="1"/>
  <c r="K51" i="5"/>
  <c r="G73" i="5"/>
  <c r="I73" i="5"/>
  <c r="E67" i="5"/>
  <c r="E83" i="5"/>
  <c r="E82" i="5" s="1"/>
  <c r="I12" i="5"/>
  <c r="G22" i="5"/>
  <c r="G47" i="5"/>
  <c r="G26" i="5"/>
  <c r="I47" i="5"/>
  <c r="H83" i="5"/>
  <c r="I26" i="5"/>
  <c r="G12" i="5"/>
  <c r="I22" i="5"/>
  <c r="P29" i="5" l="1"/>
  <c r="Q29" i="5" s="1"/>
  <c r="J93" i="5"/>
  <c r="O29" i="5"/>
  <c r="O75" i="5"/>
  <c r="M71" i="5"/>
  <c r="M70" i="5"/>
  <c r="M66" i="5"/>
  <c r="M75" i="5"/>
  <c r="O71" i="5"/>
  <c r="O70" i="5"/>
  <c r="P65" i="5"/>
  <c r="Q65" i="5" s="1"/>
  <c r="O64" i="5"/>
  <c r="M64" i="5"/>
  <c r="N82" i="5"/>
  <c r="M41" i="5"/>
  <c r="F67" i="5"/>
  <c r="F74" i="5" s="1"/>
  <c r="F89" i="5" s="1"/>
  <c r="O41" i="5"/>
  <c r="M18" i="5"/>
  <c r="L27" i="5"/>
  <c r="L90" i="5" s="1"/>
  <c r="H82" i="5"/>
  <c r="P41" i="5"/>
  <c r="Q41" i="5" s="1"/>
  <c r="J49" i="5"/>
  <c r="J85" i="5"/>
  <c r="H139" i="1" s="1"/>
  <c r="O36" i="5"/>
  <c r="N34" i="5"/>
  <c r="N49" i="5" s="1"/>
  <c r="N92" i="5"/>
  <c r="O92" i="5" s="1"/>
  <c r="O18" i="5"/>
  <c r="P10" i="5"/>
  <c r="Q10" i="5" s="1"/>
  <c r="O83" i="5"/>
  <c r="O84" i="5"/>
  <c r="M34" i="5"/>
  <c r="O54" i="5"/>
  <c r="N59" i="5"/>
  <c r="M92" i="5"/>
  <c r="L82" i="5"/>
  <c r="M51" i="5"/>
  <c r="O51" i="5"/>
  <c r="P18" i="5"/>
  <c r="Q18" i="5" s="1"/>
  <c r="P51" i="5"/>
  <c r="Q51" i="5" s="1"/>
  <c r="L80" i="5"/>
  <c r="L59" i="5"/>
  <c r="M59" i="5" s="1"/>
  <c r="L49" i="5"/>
  <c r="P34" i="5"/>
  <c r="Q34" i="5" s="1"/>
  <c r="L86" i="5"/>
  <c r="L93" i="5"/>
  <c r="P92" i="5"/>
  <c r="Q92" i="5" s="1"/>
  <c r="I85" i="5"/>
  <c r="K85" i="5"/>
  <c r="I84" i="5"/>
  <c r="M84" i="5"/>
  <c r="K84" i="5"/>
  <c r="I93" i="5"/>
  <c r="K93" i="5"/>
  <c r="J91" i="5"/>
  <c r="F83" i="5"/>
  <c r="K18" i="5"/>
  <c r="K59" i="5"/>
  <c r="H63" i="5"/>
  <c r="J63" i="5"/>
  <c r="E74" i="5"/>
  <c r="I31" i="5"/>
  <c r="G18" i="5"/>
  <c r="I37" i="5"/>
  <c r="I45" i="5"/>
  <c r="H49" i="5"/>
  <c r="G45" i="5"/>
  <c r="K34" i="5"/>
  <c r="G37" i="5"/>
  <c r="I34" i="5"/>
  <c r="I18" i="5"/>
  <c r="G31" i="5"/>
  <c r="H123" i="1" l="1"/>
  <c r="F77" i="5"/>
  <c r="F81" i="5" s="1"/>
  <c r="G67" i="5"/>
  <c r="P84" i="5"/>
  <c r="Q84" i="5" s="1"/>
  <c r="O34" i="5"/>
  <c r="N93" i="5"/>
  <c r="N91" i="5" s="1"/>
  <c r="N86" i="5"/>
  <c r="N85" i="5" s="1"/>
  <c r="P83" i="5"/>
  <c r="Q83" i="5" s="1"/>
  <c r="P27" i="5"/>
  <c r="Q27" i="5" s="1"/>
  <c r="L5" i="5"/>
  <c r="M49" i="5"/>
  <c r="O49" i="5"/>
  <c r="M86" i="5"/>
  <c r="M93" i="5"/>
  <c r="O93" i="5"/>
  <c r="O80" i="5"/>
  <c r="O59" i="5"/>
  <c r="N63" i="5"/>
  <c r="O82" i="5"/>
  <c r="P49" i="5"/>
  <c r="Q49" i="5" s="1"/>
  <c r="L85" i="5"/>
  <c r="P59" i="5"/>
  <c r="Q59" i="5" s="1"/>
  <c r="P80" i="5"/>
  <c r="Q80" i="5" s="1"/>
  <c r="L4" i="5"/>
  <c r="L91" i="5"/>
  <c r="L63" i="5"/>
  <c r="M63" i="5" s="1"/>
  <c r="P93" i="5"/>
  <c r="Q93" i="5" s="1"/>
  <c r="P86" i="5"/>
  <c r="Q86" i="5" s="1"/>
  <c r="I83" i="5"/>
  <c r="F82" i="5"/>
  <c r="I82" i="5" s="1"/>
  <c r="H143" i="1"/>
  <c r="H131" i="1"/>
  <c r="G74" i="5"/>
  <c r="E89" i="5"/>
  <c r="K91" i="5"/>
  <c r="I91" i="5"/>
  <c r="K83" i="5"/>
  <c r="G83" i="5"/>
  <c r="M83" i="5"/>
  <c r="K41" i="5"/>
  <c r="K29" i="5"/>
  <c r="K63" i="5"/>
  <c r="I63" i="5"/>
  <c r="H67" i="5"/>
  <c r="J67" i="5"/>
  <c r="E77" i="5"/>
  <c r="E81" i="5" s="1"/>
  <c r="E79" i="5" s="1"/>
  <c r="F49" i="5"/>
  <c r="I29" i="5"/>
  <c r="E49" i="5"/>
  <c r="G41" i="5"/>
  <c r="G29" i="5"/>
  <c r="I41" i="5"/>
  <c r="G34" i="5"/>
  <c r="P82" i="5" l="1"/>
  <c r="Q82" i="5" s="1"/>
  <c r="F79" i="5"/>
  <c r="O86" i="5"/>
  <c r="P90" i="5"/>
  <c r="Q90" i="5" s="1"/>
  <c r="P4" i="5"/>
  <c r="P5" i="5"/>
  <c r="O63" i="5"/>
  <c r="N67" i="5"/>
  <c r="M91" i="5"/>
  <c r="O91" i="5"/>
  <c r="M85" i="5"/>
  <c r="O85" i="5"/>
  <c r="P63" i="5"/>
  <c r="Q63" i="5" s="1"/>
  <c r="J82" i="5"/>
  <c r="M82" i="5" s="1"/>
  <c r="L67" i="5"/>
  <c r="M67" i="5" s="1"/>
  <c r="P91" i="5"/>
  <c r="Q91" i="5" s="1"/>
  <c r="P85" i="5"/>
  <c r="Q85" i="5" s="1"/>
  <c r="G81" i="5"/>
  <c r="G89" i="5"/>
  <c r="G82" i="5"/>
  <c r="K82" i="5"/>
  <c r="K49" i="5"/>
  <c r="H74" i="5"/>
  <c r="H89" i="5" s="1"/>
  <c r="J89" i="5" s="1"/>
  <c r="K67" i="5"/>
  <c r="I67" i="5"/>
  <c r="J74" i="5"/>
  <c r="I49" i="5"/>
  <c r="G77" i="5"/>
  <c r="G49" i="5"/>
  <c r="H119" i="1" l="1"/>
  <c r="O67" i="5"/>
  <c r="N74" i="5"/>
  <c r="H135" i="1"/>
  <c r="P67" i="5"/>
  <c r="Q67" i="5" s="1"/>
  <c r="L74" i="5"/>
  <c r="M74" i="5" s="1"/>
  <c r="I89" i="5"/>
  <c r="K89" i="5"/>
  <c r="K74" i="5"/>
  <c r="I74" i="5"/>
  <c r="H77" i="5"/>
  <c r="H81" i="5" s="1"/>
  <c r="J77" i="5"/>
  <c r="D11" i="1"/>
  <c r="E11" i="1"/>
  <c r="D5" i="1"/>
  <c r="D10" i="1"/>
  <c r="D9" i="1"/>
  <c r="L3" i="1"/>
  <c r="L2" i="1"/>
  <c r="H5" i="1"/>
  <c r="H16" i="1"/>
  <c r="H79" i="5" l="1"/>
  <c r="J81" i="5"/>
  <c r="N77" i="5"/>
  <c r="N89" i="5"/>
  <c r="O74" i="5"/>
  <c r="L89" i="5"/>
  <c r="M89" i="5" s="1"/>
  <c r="L77" i="5"/>
  <c r="M77" i="5" s="1"/>
  <c r="P74" i="5"/>
  <c r="Q74" i="5" s="1"/>
  <c r="I81" i="5"/>
  <c r="K81" i="5"/>
  <c r="K77" i="5"/>
  <c r="I77" i="5"/>
  <c r="G4" i="1"/>
  <c r="E4" i="1" s="1"/>
  <c r="O89" i="5" l="1"/>
  <c r="N81" i="5"/>
  <c r="O77" i="5"/>
  <c r="L81" i="5"/>
  <c r="M81" i="5" s="1"/>
  <c r="L88" i="5"/>
  <c r="P77" i="5"/>
  <c r="Q77" i="5" s="1"/>
  <c r="P89" i="5"/>
  <c r="Q89" i="5" s="1"/>
  <c r="M62" i="1"/>
  <c r="O81" i="5" l="1"/>
  <c r="N79" i="5"/>
  <c r="P88" i="5"/>
  <c r="Q88" i="5" s="1"/>
  <c r="L79" i="5"/>
  <c r="P81" i="5"/>
  <c r="Q81" i="5" s="1"/>
  <c r="K144" i="1"/>
  <c r="K145" i="1" s="1"/>
  <c r="K140" i="1"/>
  <c r="K141" i="1" s="1"/>
  <c r="K136" i="1"/>
  <c r="K137" i="1" s="1"/>
  <c r="K120" i="1"/>
  <c r="K121" i="1" s="1"/>
  <c r="K124" i="1"/>
  <c r="K125" i="1" s="1"/>
  <c r="K132"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O79" i="5" l="1"/>
  <c r="P79" i="5"/>
  <c r="Q79" i="5" s="1"/>
  <c r="K142" i="1"/>
  <c r="K138" i="1"/>
  <c r="K126" i="1"/>
  <c r="K122" i="1"/>
  <c r="A52" i="2"/>
  <c r="A53" i="2"/>
  <c r="A54" i="2"/>
  <c r="A55" i="2"/>
  <c r="A56" i="2"/>
  <c r="K4" i="1"/>
  <c r="G10" i="1"/>
  <c r="L8" i="5" s="1"/>
  <c r="G9" i="1"/>
  <c r="H49" i="1"/>
  <c r="H6" i="1" s="1"/>
  <c r="E8" i="5" l="1"/>
  <c r="H9" i="5"/>
  <c r="I3" i="5"/>
  <c r="D7" i="1"/>
  <c r="K134" i="1"/>
  <c r="G192" i="1"/>
  <c r="H154" i="1" s="1"/>
  <c r="H9" i="1" s="1"/>
  <c r="H62" i="1"/>
  <c r="H7" i="1" s="1"/>
  <c r="K104" i="1"/>
  <c r="K102" i="1"/>
  <c r="K101" i="1"/>
  <c r="K100" i="1"/>
  <c r="K99" i="1"/>
  <c r="G90" i="1"/>
  <c r="I90" i="1"/>
  <c r="H90" i="1"/>
  <c r="K89" i="1"/>
  <c r="K88" i="1" s="1"/>
  <c r="K87" i="1" s="1"/>
  <c r="K86" i="1" s="1"/>
  <c r="K82" i="1"/>
  <c r="K83" i="1"/>
  <c r="K84" i="1"/>
  <c r="K85" i="1"/>
  <c r="K77" i="1"/>
  <c r="K75" i="1"/>
  <c r="K74" i="1"/>
  <c r="K73" i="1"/>
  <c r="K72" i="1"/>
  <c r="K71" i="1"/>
  <c r="K70" i="1"/>
  <c r="K69" i="1"/>
  <c r="K68" i="1"/>
  <c r="K67" i="1"/>
  <c r="K66" i="1"/>
  <c r="K65" i="1"/>
  <c r="K64" i="1"/>
  <c r="K61" i="1"/>
  <c r="K60" i="1"/>
  <c r="K59" i="1"/>
  <c r="K58" i="1"/>
  <c r="K57" i="1"/>
  <c r="K56" i="1"/>
  <c r="K55" i="1"/>
  <c r="K54" i="1"/>
  <c r="K53" i="1"/>
  <c r="K52" i="1"/>
  <c r="K51" i="1"/>
  <c r="K48" i="1"/>
  <c r="K47" i="1" s="1"/>
  <c r="K46" i="1" s="1"/>
  <c r="H42" i="1"/>
  <c r="K42" i="1" s="1"/>
  <c r="C59" i="9"/>
  <c r="K32" i="1"/>
  <c r="K31" i="1"/>
  <c r="K30" i="1"/>
  <c r="K29" i="1"/>
  <c r="K28" i="1"/>
  <c r="K27" i="1"/>
  <c r="K26" i="1"/>
  <c r="K39" i="1"/>
  <c r="K38" i="1"/>
  <c r="K37" i="1"/>
  <c r="K36" i="1"/>
  <c r="K40" i="1"/>
  <c r="H33" i="1"/>
  <c r="H23" i="1"/>
  <c r="K22" i="1"/>
  <c r="K21" i="1"/>
  <c r="K20" i="1"/>
  <c r="K19" i="1"/>
  <c r="K18"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K76" i="1" l="1"/>
  <c r="K111" i="1"/>
  <c r="F9" i="5"/>
  <c r="E9" i="5" s="1"/>
  <c r="L9" i="5"/>
  <c r="K98" i="1"/>
  <c r="K62" i="1"/>
  <c r="K49" i="1"/>
  <c r="C100" i="5"/>
  <c r="C43" i="7"/>
  <c r="C37" i="6"/>
  <c r="C41" i="8"/>
  <c r="C99" i="5"/>
  <c r="C42" i="7"/>
  <c r="C36" i="6"/>
  <c r="C40" i="8"/>
  <c r="K91" i="1"/>
  <c r="K92" i="1" s="1"/>
  <c r="K93" i="1" s="1"/>
  <c r="L11" i="1"/>
  <c r="K155" i="1"/>
  <c r="K108" i="1"/>
  <c r="K105" i="1"/>
  <c r="K103" i="1" s="1"/>
  <c r="K109" i="1"/>
  <c r="K106" i="1"/>
  <c r="K110" i="1"/>
  <c r="K107" i="1"/>
  <c r="K16" i="1"/>
  <c r="K45" i="1"/>
  <c r="H43" i="1"/>
  <c r="K43" i="1" s="1"/>
  <c r="H44" i="1"/>
  <c r="K44" i="1" s="1"/>
  <c r="G163" i="1"/>
  <c r="H146" i="1" s="1"/>
  <c r="H8" i="1" s="1"/>
  <c r="K33" i="1" l="1"/>
  <c r="K23" i="1"/>
  <c r="N9" i="5"/>
  <c r="L28" i="5"/>
  <c r="L50" i="5" s="1"/>
  <c r="L78" i="5" s="1"/>
  <c r="K156" i="1"/>
  <c r="K157" i="1" s="1"/>
  <c r="K147" i="1"/>
  <c r="K41" i="1"/>
  <c r="P9" i="5" l="1"/>
  <c r="P28" i="5" s="1"/>
  <c r="P50" i="5" s="1"/>
  <c r="P78" i="5" s="1"/>
  <c r="N28" i="5"/>
  <c r="N50" i="5" s="1"/>
  <c r="N78" i="5" s="1"/>
  <c r="K14" i="1"/>
  <c r="K158" i="1"/>
  <c r="K159" i="1" s="1"/>
  <c r="K148" i="1"/>
  <c r="K149" i="1" s="1"/>
  <c r="K94" i="1"/>
  <c r="K95" i="1" l="1"/>
  <c r="K96" i="1" s="1"/>
  <c r="K97" i="1" s="1"/>
  <c r="K154" i="1"/>
  <c r="K150" i="1"/>
  <c r="K151" i="1" s="1"/>
  <c r="K152" i="1" s="1"/>
  <c r="K90" i="1" l="1"/>
  <c r="K153" i="1"/>
  <c r="K146" i="1" s="1"/>
  <c r="I80" i="5" l="1"/>
  <c r="M80" i="5"/>
  <c r="K80" i="5"/>
  <c r="G80" i="5"/>
  <c r="G79" i="5"/>
  <c r="J79" i="5" l="1"/>
  <c r="M79" i="5" s="1"/>
  <c r="I79" i="5"/>
  <c r="K79" i="5"/>
  <c r="G7" i="6"/>
  <c r="E28" i="5"/>
  <c r="E50" i="5" s="1"/>
  <c r="E78" i="5" s="1"/>
  <c r="H28" i="5"/>
  <c r="H50" i="5" s="1"/>
  <c r="H78" i="5" s="1"/>
  <c r="F28" i="5"/>
  <c r="F50" i="5" s="1"/>
  <c r="F78" i="5" s="1"/>
  <c r="H113" i="1" l="1"/>
  <c r="K115" i="1" s="1"/>
  <c r="K116" i="1" s="1"/>
  <c r="K117" i="1" s="1"/>
  <c r="K113" i="1" s="1"/>
  <c r="E10" i="5"/>
  <c r="E27" i="5" s="1"/>
  <c r="C11" i="5"/>
  <c r="G11" i="5" l="1"/>
  <c r="F10" i="5"/>
  <c r="F27" i="5" s="1"/>
  <c r="F90" i="5" s="1"/>
  <c r="I11" i="5"/>
  <c r="M11" i="5"/>
  <c r="H10" i="5"/>
  <c r="G27" i="5"/>
  <c r="K10" i="5"/>
  <c r="E5" i="5"/>
  <c r="K11" i="5"/>
  <c r="G10" i="5"/>
  <c r="E4" i="5"/>
  <c r="E90" i="5"/>
  <c r="F6" i="5" l="1"/>
  <c r="F4" i="5"/>
  <c r="F5" i="5"/>
  <c r="J10" i="5"/>
  <c r="J27" i="5" s="1"/>
  <c r="N11" i="5"/>
  <c r="I10" i="5"/>
  <c r="H27" i="5"/>
  <c r="E88" i="5"/>
  <c r="G90" i="5"/>
  <c r="F88" i="5"/>
  <c r="M10" i="5" l="1"/>
  <c r="G88" i="5"/>
  <c r="I27" i="5"/>
  <c r="H4" i="5"/>
  <c r="H6" i="5"/>
  <c r="H90" i="5"/>
  <c r="J90" i="5" s="1"/>
  <c r="M27" i="5"/>
  <c r="H5" i="5"/>
  <c r="K27" i="5"/>
  <c r="O11" i="5"/>
  <c r="N10" i="5"/>
  <c r="J5" i="5"/>
  <c r="J4" i="5"/>
  <c r="L6" i="5"/>
  <c r="H88" i="5" l="1"/>
  <c r="I90" i="5"/>
  <c r="J88" i="5"/>
  <c r="H127" i="1" s="1"/>
  <c r="K128" i="1" s="1"/>
  <c r="K90" i="5"/>
  <c r="O10" i="5"/>
  <c r="N27" i="5"/>
  <c r="O27" i="5" l="1"/>
  <c r="N90" i="5"/>
  <c r="P6" i="5"/>
  <c r="N4" i="5"/>
  <c r="N6" i="5"/>
  <c r="N5" i="5"/>
  <c r="K129" i="1"/>
  <c r="K130" i="1" s="1"/>
  <c r="K133" i="1" s="1"/>
  <c r="I88" i="5"/>
  <c r="M88" i="5"/>
  <c r="K88" i="5"/>
  <c r="M90" i="5"/>
  <c r="K118" i="1" l="1"/>
  <c r="K112" i="1" s="1"/>
  <c r="J10" i="1" s="1"/>
  <c r="N88" i="5"/>
  <c r="O88" i="5" s="1"/>
  <c r="O90" i="5"/>
  <c r="D278" i="1" l="1"/>
  <c r="L10" i="1"/>
  <c r="G1" i="7"/>
  <c r="I1" i="6"/>
  <c r="M1" i="5"/>
  <c r="I1" i="8"/>
  <c r="J1" i="9"/>
</calcChain>
</file>

<file path=xl/comments1.xml><?xml version="1.0" encoding="utf-8"?>
<comments xmlns="http://schemas.openxmlformats.org/spreadsheetml/2006/main">
  <authors>
    <author>Francisco Lara Garrido</author>
  </authors>
  <commentList>
    <comment ref="C11" authorId="0" shapeId="0">
      <text>
        <r>
          <rPr>
            <sz val="9"/>
            <color indexed="81"/>
            <rFont val="Tahoma"/>
            <family val="2"/>
          </rPr>
          <t xml:space="preserve">Introduzca los datos totales en esta fila o el 
detalle en las siguientes.
</t>
        </r>
      </text>
    </comment>
    <comment ref="C19" authorId="0" shapeId="0">
      <text>
        <r>
          <rPr>
            <sz val="9"/>
            <color indexed="81"/>
            <rFont val="Tahoma"/>
            <family val="2"/>
          </rPr>
          <t xml:space="preserve">Introduzca los datos totales en esta fila o el 
detalle en las siguientes.
</t>
        </r>
      </text>
    </comment>
    <comment ref="C30" authorId="0" shapeId="0">
      <text>
        <r>
          <rPr>
            <sz val="9"/>
            <color indexed="81"/>
            <rFont val="Tahoma"/>
            <family val="2"/>
          </rPr>
          <t xml:space="preserve">Introduzca los datos totales en esta fila o el 
detalle en las siguientes.
</t>
        </r>
      </text>
    </comment>
    <comment ref="C35" authorId="0" shapeId="0">
      <text>
        <r>
          <rPr>
            <sz val="9"/>
            <color indexed="81"/>
            <rFont val="Tahoma"/>
            <family val="2"/>
          </rPr>
          <t xml:space="preserve">Introduzca los datos totales en esta fila o el 
detalle en las siguientes.
</t>
        </r>
      </text>
    </comment>
    <comment ref="C42" authorId="0" shapeId="0">
      <text>
        <r>
          <rPr>
            <sz val="9"/>
            <color indexed="81"/>
            <rFont val="Tahoma"/>
            <family val="2"/>
          </rPr>
          <t xml:space="preserve">Introduzca los datos totales en esta fila o el 
detalle en las siguientes.
</t>
        </r>
      </text>
    </comment>
  </commentList>
</comments>
</file>

<file path=xl/comments2.xml><?xml version="1.0" encoding="utf-8"?>
<comments xmlns="http://schemas.openxmlformats.org/spreadsheetml/2006/main">
  <authors>
    <author>Francisco Lara Garrido</author>
  </authors>
  <commentList>
    <comment ref="L13" authorId="0" shapeId="0">
      <text>
        <r>
          <rPr>
            <sz val="9"/>
            <color indexed="81"/>
            <rFont val="Tahoma"/>
            <family val="2"/>
          </rPr>
          <t>Este dato se traslada a al criterio CS1 de la autobaremación</t>
        </r>
      </text>
    </comment>
  </commentList>
</comments>
</file>

<file path=xl/sharedStrings.xml><?xml version="1.0" encoding="utf-8"?>
<sst xmlns="http://schemas.openxmlformats.org/spreadsheetml/2006/main" count="1879" uniqueCount="892">
  <si>
    <t>Física</t>
  </si>
  <si>
    <t>Tipo Persona</t>
  </si>
  <si>
    <t>Jurídica</t>
  </si>
  <si>
    <t>Proyecto:</t>
  </si>
  <si>
    <t>Municipios</t>
  </si>
  <si>
    <t>ALCALA LA REAL</t>
  </si>
  <si>
    <t>ALCAUDETE</t>
  </si>
  <si>
    <t>CASTILLO DE LOCUBIN</t>
  </si>
  <si>
    <t>FRAILES</t>
  </si>
  <si>
    <t>JAMILENA</t>
  </si>
  <si>
    <t>MARTOS</t>
  </si>
  <si>
    <t>TORREDELCAMPO</t>
  </si>
  <si>
    <t>COMARCA</t>
  </si>
  <si>
    <t>Municipio:</t>
  </si>
  <si>
    <t>COD.</t>
  </si>
  <si>
    <t>GRUPO INTERVENCIONES</t>
  </si>
  <si>
    <t>BENEFICIARIOS</t>
  </si>
  <si>
    <t>TIPO DE PROYECTO</t>
  </si>
  <si>
    <t>Productivo</t>
  </si>
  <si>
    <t>No productivo</t>
  </si>
  <si>
    <t>Tipo Promotor</t>
  </si>
  <si>
    <t>GDR</t>
  </si>
  <si>
    <t>General</t>
  </si>
  <si>
    <t/>
  </si>
  <si>
    <t xml:space="preserve"> </t>
  </si>
  <si>
    <t>ACTUACIÓN PARA EL FORTALECIMIENTO Y ANIMACIÓN DEL TEJIDO ASOCIATIVO COMARCAL</t>
  </si>
  <si>
    <t>ACTUACIÓN PARA LA VERTEBRACIÓN EMPRESARIAL Y LABORAL, LA FORMACIÓN ORIENTADA AL EMPLEO Y LA INTEGRACIÓN SOCIAL</t>
  </si>
  <si>
    <t>PROGRAMA DE INTERVENCIÓN PARA LA ADECUACIÓN Y FOMENTO DE LOS RECURSOS PÚBLICOS MUNICIPALES</t>
  </si>
  <si>
    <t>PLAN DE MEJORA DE LA CALIDAD LUMÍNICA DE LOS CIELOS NOCTURNOS DE LA COMARCA</t>
  </si>
  <si>
    <t>PLAN INTEGRAL DE APOYO AL TEJIDO PRODUCTIVO A TRAVÉS DE EMPRESAS QUE FAVOREZCAN EL EMPLEO COMARCAL</t>
  </si>
  <si>
    <t>Asociaciones</t>
  </si>
  <si>
    <t>Ayuntamientos</t>
  </si>
  <si>
    <t>CS1</t>
  </si>
  <si>
    <t xml:space="preserve">EMPLEO </t>
  </si>
  <si>
    <t xml:space="preserve">A) CREACIÓN DE EMPLEO </t>
  </si>
  <si>
    <t>CS1.1</t>
  </si>
  <si>
    <t>CREACION DE EMPLEO</t>
  </si>
  <si>
    <t xml:space="preserve">4 puntos por cada puesto de empleo creado. </t>
  </si>
  <si>
    <t>CS1.2</t>
  </si>
  <si>
    <t>CREACIÓN DE EMPLEO JOVEN</t>
  </si>
  <si>
    <t>1.5 puntos adicionales por cada puesto de empleo creado a personas jóvenes.</t>
  </si>
  <si>
    <t>Periodo elegible para puntuar: Desde la Solicitud de Ayuda hasta la Solicitud de Pago.</t>
  </si>
  <si>
    <t>CS1.3</t>
  </si>
  <si>
    <t>CREACIÓN DE EMPLEO FEMENINO</t>
  </si>
  <si>
    <t>1.5 puntos adicionales por cada puesto de empleo creado si la persona empleada es mujer.</t>
  </si>
  <si>
    <t>CS1.4</t>
  </si>
  <si>
    <t xml:space="preserve">CREACIÓN DE EMPLEO PERSONAS DISCAPACITADAS </t>
  </si>
  <si>
    <t>1.5 puntos adicionales por cada puesto de empleo creado si la persona empleada esta discapacitada.</t>
  </si>
  <si>
    <t>CS1.5</t>
  </si>
  <si>
    <t>CREACIÓN DE EMPLEO PERSONAS EN RIESGO DE EXCLUSIÓN</t>
  </si>
  <si>
    <t>1.5 puntos adicionales por cada puesto de empleo si la persona empleada está en riesgo de exclusión.</t>
  </si>
  <si>
    <t xml:space="preserve">B) MANTENIMIENTO DE EMPLEO </t>
  </si>
  <si>
    <t>CS1.6</t>
  </si>
  <si>
    <t>MANTENIMIENTO DE EMPLEO</t>
  </si>
  <si>
    <t>1 punto adicional por cada puesto de trabajo mantenido siempre que exista creación de empleo.</t>
  </si>
  <si>
    <t>Periodo elegible para puntuar: Debe existir antes de la Solicitud de Ayuda.</t>
  </si>
  <si>
    <t>CS1.7</t>
  </si>
  <si>
    <t>MANTENIMIENTO DE EMPLEO JOVEN</t>
  </si>
  <si>
    <t>0.5 puntos adicionales por cada puesto de trabajo mantenido si la persona empleada es joven.</t>
  </si>
  <si>
    <t>CS1.8</t>
  </si>
  <si>
    <t>MANTENIMIENTO DE EMPLEO FEMENINO</t>
  </si>
  <si>
    <t>0.5 puntos adicionales por cada puesto de trabajo mantenido si la persona empleada es mujer.</t>
  </si>
  <si>
    <t>CS1.9</t>
  </si>
  <si>
    <t>MANTENIMIENTO DE EMPLEO PERSONAS CON DISCAPACIDAD</t>
  </si>
  <si>
    <t>0.5 puntos adicionales por cada puesto de trabajo mantenido si la persona empleada esta discapacitada.</t>
  </si>
  <si>
    <t>CS1.10</t>
  </si>
  <si>
    <t>MANTENIMIENTO DE EMPLEO PERSONAS EN RIESGO DE EXCLUSIÓN</t>
  </si>
  <si>
    <t>0.5 puntos adicionales por cada puesto de trabajo mantenido si la persona empleada está en riesgo de exclusión.</t>
  </si>
  <si>
    <t>CS1.11</t>
  </si>
  <si>
    <t>MANTENIMIENTO DE EMPLEO A TIEMPO COMPLETO</t>
  </si>
  <si>
    <t>1 puntos adicionales por cada puesto de trabajo mantenido si la persona empleada está contratada a tiempo completo.</t>
  </si>
  <si>
    <t>CS1.12</t>
  </si>
  <si>
    <t>MANTENIMIENTO DE EMPLEO JOVEN, FEMENINO, PERSONAS CON DISCAPACIDAD, P.EN RIESGO DE EXCLUSIÓN A TIEMPO COMPLETO</t>
  </si>
  <si>
    <t>1 puntos adicionales por cada puesto de trabajo mantenido si las personas empleadas tienen las características indicadas y están contratadas a tiempo completo.</t>
  </si>
  <si>
    <t>CS1.13</t>
  </si>
  <si>
    <t>MEJORA DE EMPLEO</t>
  </si>
  <si>
    <t>1.5 puntos adicionales por cada conversión de puesto de trabajo de tiempo parcial a jornada completa.</t>
  </si>
  <si>
    <t>CS1.14</t>
  </si>
  <si>
    <t>MEJORA DE EMPLEO JOVEN, FEMENINO, PERSONAS CON DISCAPACIDAD, P.EN RIESGO DE EXCLUSIÓN</t>
  </si>
  <si>
    <t>0.5 puntos adicionales por cada conversión de puesto de trabajo de tiempo parcial a jornada completa si las personas empleadas tienen las características indicadas.</t>
  </si>
  <si>
    <t>CS1.15</t>
  </si>
  <si>
    <t>CONSOLIDACION DE EMPLEO</t>
  </si>
  <si>
    <t>1.5 puntos adicionales por cada puesto de trabajo que pasa a contrato indefinido.</t>
  </si>
  <si>
    <t>CS1.16</t>
  </si>
  <si>
    <t>CONSOLIDACION DE EMPLEO JOVEN, FEMENINO, PERSONAS CON DISCAPACIDAD, P.EN RIESGO DE EXCLUSIÓN</t>
  </si>
  <si>
    <t>0.5 puntos adicionales por cada puesto de trabajo que pasa a contrato indefinido si las personas empleadas tienen las características indicadas.</t>
  </si>
  <si>
    <t>CS1.17</t>
  </si>
  <si>
    <t>RESIDENCIA EFECTIVA EN LA COMARCA DE LA PERSONA EMPLEADA</t>
  </si>
  <si>
    <t>0.5 puntos adicionales por cada puesto de trabajo creado, mantenido o consolidado, si la persona empleada tiene su residencia habitual en la Comarca.</t>
  </si>
  <si>
    <t>Periodo elegible para puntuar: Hasta la Solicitud de Pago.</t>
  </si>
  <si>
    <t>Código</t>
  </si>
  <si>
    <t>CRITERIO/Subcriterio</t>
  </si>
  <si>
    <t>Forma Objetiva de Valoración</t>
  </si>
  <si>
    <t>Puntos máx.</t>
  </si>
  <si>
    <t>Naturaleza</t>
  </si>
  <si>
    <t>CS2</t>
  </si>
  <si>
    <t>LOCALIZACIÓN DEL PROYECTO</t>
  </si>
  <si>
    <t>CS2.1</t>
  </si>
  <si>
    <t>PROYECTO LOCALIZADO EN LA ZONA GEOGRÁFICA 1</t>
  </si>
  <si>
    <t>En este caso se asigna la puntuación menor.</t>
  </si>
  <si>
    <t>Excluyente</t>
  </si>
  <si>
    <t>CS2.2</t>
  </si>
  <si>
    <t>PROYECTO LOCALIZADO EN LA ZONA GEOGRÁFICA 2</t>
  </si>
  <si>
    <t>En este caso se asigna la puntuación intermedia.</t>
  </si>
  <si>
    <t>CS2.3</t>
  </si>
  <si>
    <t>PROYECTO LOCALIZADO EN LA ZONA GEOGRÁFICA 3</t>
  </si>
  <si>
    <t>En este caso se asigna la puntuación mayor.</t>
  </si>
  <si>
    <t>CS3</t>
  </si>
  <si>
    <t>HISTORIAL DE AYUDAS RECIBIDAS</t>
  </si>
  <si>
    <t>Periodo elegible para puntuar: Hasta la Solicitud de Ayuda.</t>
  </si>
  <si>
    <t>CS3.1</t>
  </si>
  <si>
    <t>EL PROMOTOR NUNCA HA RECIBIDO AYUDAS PÚBLICAS EN LOS ÚLTIMOS 7 AÑOS</t>
  </si>
  <si>
    <t>Si cumple el elemento se asigna este valor.</t>
  </si>
  <si>
    <t>CS3.2</t>
  </si>
  <si>
    <t>EL PROMOTOR HA RECIBIDO AYUDAS PÚBLICAS NO SUPERIORES A 12.000€ EN LOS ÚLTIMOS 7 AÑOS</t>
  </si>
  <si>
    <t>CS3.3</t>
  </si>
  <si>
    <t>EL PROMOTOR SI HA RECIBIDO AYUDAS PÚBLICAS SUPERIORES A 12.000€ EN LOS ÚLTIMOS 7 AÑOS</t>
  </si>
  <si>
    <t>CS4</t>
  </si>
  <si>
    <t>CONTRIBUCION A OBJETIVOS TRANSVERSALES DE ECOCONDICIONALIDAD: MEDIO AMBIENTE Y CAMBIO CLIMÁTICO</t>
  </si>
  <si>
    <t>Periodo elegible para puntuar: Se detalla en cada Subcriterio.</t>
  </si>
  <si>
    <t>CS4.1</t>
  </si>
  <si>
    <t>INCORPORACIÓN DE RECURSOS QUE PROMUEVAN EL AHORRO HÍDRICO</t>
  </si>
  <si>
    <t xml:space="preserve">Periodo elegible para puntuar: Desde la Solicitud de Ayuda hasta la Solicitud de Pago. En el desarrollo del proyecto. </t>
  </si>
  <si>
    <t>CS4.2</t>
  </si>
  <si>
    <t>EXISTENCIA DE RECURSOS QUE PROMUEVEN EL AHORRO HÍDRICO</t>
  </si>
  <si>
    <t xml:space="preserve">Periodo elegible para puntuar: Debe existir antes de la Solicitud de Ayuda. En las instalaciones de la entidad promotora. </t>
  </si>
  <si>
    <t>CS4.3</t>
  </si>
  <si>
    <t>INCORPORACIÓN DE RECURSOS QUE PROMUEVAN EL AHORRO ENERGÉTICO</t>
  </si>
  <si>
    <t>CS4.4</t>
  </si>
  <si>
    <t>EXISTENCIA DE RECURSOS QUE PROMUEVEN EL AHORRO ENERGÉTICO</t>
  </si>
  <si>
    <t>CS4.5</t>
  </si>
  <si>
    <t>FORMACIÓN MEDIOAMBIENTAL EN LOS ÚLTIMOS CINCO AÑOS</t>
  </si>
  <si>
    <t>Periodo elegible para puntuar: Computa hasta el momento de la solicitud de pago. Previa o en el desarrollo del proyecto.</t>
  </si>
  <si>
    <t>CS4.6</t>
  </si>
  <si>
    <t>ACCIONES ENCAMINADAS A LA MEJORA Y CONSERVACIÓN DE SUELOS Y OTROS ELEMENTOS NATURALES</t>
  </si>
  <si>
    <t>CS4.7</t>
  </si>
  <si>
    <t>DESARROLLO DE LOS CANALES CORTOS DE COMERCIALIZACIÓN</t>
  </si>
  <si>
    <t xml:space="preserve">Periodo elegible para puntuar: Desde la Solicitud de Ayuda hasta la Solicitud de Pago. En el desarrollo del Proyecto. </t>
  </si>
  <si>
    <t>CS4.8</t>
  </si>
  <si>
    <t>INSTALACIÓN DE FUENTES DE ENERGÍA RENOVABLE</t>
  </si>
  <si>
    <t>CS4.9</t>
  </si>
  <si>
    <t>USO DE FUENTES DE ENERGÍA RENOVABLE</t>
  </si>
  <si>
    <t>Periodo elegible para puntuar: Debe existir antes de la Solicitud de Ayuda. En las instalaciones de la entidad promotora.</t>
  </si>
  <si>
    <t>CS4.10</t>
  </si>
  <si>
    <t>INSTALACIÓN DE SISTEMAS DE RECICLAJE O REUTILIZACIÓN DE RESIDUOS</t>
  </si>
  <si>
    <t>Periodo elegible para puntuar: Desde la Solicitud de Ayuda hasta la Solicitud de Pago. En el desarrollo del proyecto.</t>
  </si>
  <si>
    <t>CS4.11</t>
  </si>
  <si>
    <t>USO DE SISTEMAS DE RECICLAJE O REUTILIZACIÓN DE RESIDUOS</t>
  </si>
  <si>
    <t>CS5</t>
  </si>
  <si>
    <t>CONTRIBUCION A O.TRANSVERSALES DE SOCIOCONDICIONALIDAD: IGUALDAD HOMBRES-MUJERES Y PARTICIPACIÓN JUVENIL</t>
  </si>
  <si>
    <t>CS5.1</t>
  </si>
  <si>
    <t>PROYECTO PROMOVIDO POR PARTE DE MUJERES</t>
  </si>
  <si>
    <t>CS5.2</t>
  </si>
  <si>
    <t>PROYECTO PROMOVIDO MAYORITARIAMENTE POR PARTE DE MUJERES</t>
  </si>
  <si>
    <t>CS5.3</t>
  </si>
  <si>
    <t>PROYECTO PROMOVIDO POR PARTE DE JÓVENES</t>
  </si>
  <si>
    <t>CS5.4</t>
  </si>
  <si>
    <t>PROYECTO PROMOVIDO MAYORITARIAMENTE POR PARTE DE JÓVENES</t>
  </si>
  <si>
    <t>CS5.5</t>
  </si>
  <si>
    <t>PARTICIPACIÓN DE MUJERES EN LOS ÓRGANOS DE DECISIÓN</t>
  </si>
  <si>
    <t>CS5.6</t>
  </si>
  <si>
    <t>PARTICIPACIÓN MAYORITARIA DE MUJERES EN LOS ÓRGANOS DE DECISIÓN</t>
  </si>
  <si>
    <t>CS5.7</t>
  </si>
  <si>
    <t>PARTICIPACIÓN DE JÓVENES EN LOS ÓRGANOS DE DECISIÓN</t>
  </si>
  <si>
    <t>CS5.8</t>
  </si>
  <si>
    <t>PARTICIPACIÓN MAYORITARIA DE JÓVENES EN LOS ÓRGANOS DE DECISIÓN</t>
  </si>
  <si>
    <t>CS5.9</t>
  </si>
  <si>
    <t>EXISTENCIA O DESARROLLO DE ESPACIOS Y/O ACTUACIONES QUE FACILITAN LA CONCILIACIÓN EN EL CENTRO DE TRABAJO</t>
  </si>
  <si>
    <t>Periodo elegible para puntuar: Existen ya antes de la solicitud de ayuda o se van a incorporar antes de la solicitud de pago.</t>
  </si>
  <si>
    <t>CS5.10</t>
  </si>
  <si>
    <t>CONVENIOS DE PRÁCTICAS PARA JÓVENES ESTUDIANTES</t>
  </si>
  <si>
    <t>Periodo elegible para puntuar: Existen ya antes de la solicitud de ayuda o se van a formalizar antes de la solicitud de pago.</t>
  </si>
  <si>
    <t>CS5.11</t>
  </si>
  <si>
    <t>PLANES DE IGUALDAD</t>
  </si>
  <si>
    <t>Periodo elegible para puntuar: Existen ya antes de la solicitud de ayuda o se van a desarrollar antes de la solicitud de pago.</t>
  </si>
  <si>
    <t>CS5.12</t>
  </si>
  <si>
    <t>FORMACIÓN EN RELACIÓN A LA IGUALDAD ENTRE HOMBRES Y MUJERES</t>
  </si>
  <si>
    <t>Periodo elegible para puntuar: Existe ya antes de la solicitud de ayuda o se van a recibir la formación antes de la solicitud de pago.</t>
  </si>
  <si>
    <t>CS6</t>
  </si>
  <si>
    <t>MODALIDAD DEL PROYECTO</t>
  </si>
  <si>
    <t>CS6.1</t>
  </si>
  <si>
    <t>CREACIÓN DE UNA NUEVA EMPRESA</t>
  </si>
  <si>
    <t>CS6.2</t>
  </si>
  <si>
    <t>AMPLIACIÓN DE UNA EMPRESA CREANDO UN NUEVO CENTRO DE TRABAJO</t>
  </si>
  <si>
    <t>CS6.3</t>
  </si>
  <si>
    <t>AMPLIACIÓN DE UNA EMPRESA EN BASE A SUS INSTALACIONES ACTUALES</t>
  </si>
  <si>
    <t>CS6.4</t>
  </si>
  <si>
    <t xml:space="preserve">TRASLADO DE LA EMPRESA PROMOVIENDO UNA MAYOR COMPETITIVIDAD </t>
  </si>
  <si>
    <t>CS6.5</t>
  </si>
  <si>
    <t xml:space="preserve">MODERNIZACIÓN DE LA EMPRESA PROMOVIENDO UNA MAYOR COMPETITIVIDAD </t>
  </si>
  <si>
    <t>CS6.6</t>
  </si>
  <si>
    <t>ADAPTACIÓN A LA NORMATIVA DE LA EMPRESA</t>
  </si>
  <si>
    <t>CS6.7</t>
  </si>
  <si>
    <t>ACCIONES DIRIGIDAS A LA MEJORA DE LA COMERCIALIZACIÓN</t>
  </si>
  <si>
    <t>CS6.8</t>
  </si>
  <si>
    <t>ACCIONES DIRIGIDAS A LA MEJORA O ACREDITACIÓN DE LA CALIDAD</t>
  </si>
  <si>
    <t>CS6.9</t>
  </si>
  <si>
    <t>ACCIONES DIRIGIDAS A LA MEJORA DE LA CUALIFICACIÓN</t>
  </si>
  <si>
    <t>CS7</t>
  </si>
  <si>
    <t>CARÁCTER ENDÓGENO SEGÚN RESIDENCIA DE QUIEN PROMUEVE EL PROYECTO</t>
  </si>
  <si>
    <t>CS7.1</t>
  </si>
  <si>
    <t xml:space="preserve">EL PROYECTO ES PROMOVIDO POR PARTE DE PERSONAS RESIDENTES EN EL TERRITORIO. </t>
  </si>
  <si>
    <t>CS7.2</t>
  </si>
  <si>
    <t xml:space="preserve">EL PROYECTO ES PROMOVIDO POR PARTE DE PERSONAS NEO-RESIDENTES EN EL TERRITORIO. </t>
  </si>
  <si>
    <t>CS7.3</t>
  </si>
  <si>
    <t xml:space="preserve">EL PROYECTO ES PROMOVIDO POR PARTE DE PERSONAS RETORNADAS. </t>
  </si>
  <si>
    <t>CS8</t>
  </si>
  <si>
    <t>RELACIÓN INVERSIÓN-CREACIÓN DE EMPLEO</t>
  </si>
  <si>
    <t xml:space="preserve">Los empleos a considerar son en términos UTA-Unidad de Trabajo Anual (considera un empleo creado si este es a tiempo completo durante todo el año) y la Inversión subvencionada valorada finalmente en el proyecto. A mayor ratio menos puntuación. Periodo elegible para puntuar: Desde la Solicitud de Ayuda hasta la Solicitud de Pago. </t>
  </si>
  <si>
    <t>CS8.1</t>
  </si>
  <si>
    <t>RATIO INVERSIÓN SUBVENCIONADA DIVIDIDA ENTRE LA CREACIÓN DE EMPLEO ES MENOR DE 30.000€</t>
  </si>
  <si>
    <t>Si el resultado esta en ese umbral se asigna este valor.</t>
  </si>
  <si>
    <t>CS8.2</t>
  </si>
  <si>
    <t>RATIO INVERSIÓN SUBVENCIONADA DIVIDIDA ENTRE LA CREACIÓN DE EMPLEO ES ENTRE 30.001€ Y 50.000€</t>
  </si>
  <si>
    <t>CS8.3</t>
  </si>
  <si>
    <t>RATIO INVERSIÓN SUBVENCIONADA DIVIDIDA ENTRE LA CREACIÓN DE EMPLEO ES ENTRE 50.001€ Y 75.000€</t>
  </si>
  <si>
    <t>CS8.4</t>
  </si>
  <si>
    <t>RATIO INVERSIÓN SUBVENCIONADA DIVIDIDA ENTRE LA CREACIÓN DE EMPLEO ES ENTRE 75.001€ Y 100.000€</t>
  </si>
  <si>
    <t>CS8.5</t>
  </si>
  <si>
    <t>RATIO INVERSIÓN SUBVENCIONADA DIVIDIDA ENTRE LA CREACIÓN DE EMPLEO ES ENTRE 100.001€ Y 125.000€</t>
  </si>
  <si>
    <t>CS8.6</t>
  </si>
  <si>
    <t>RATIO INVERSIÓN SUBVENCIONADA DIVIDIDA ENTRE LA CREACIÓN DE EMPLEO ES ENTRE 125.001€ Y 150.000€</t>
  </si>
  <si>
    <t>CS8.7</t>
  </si>
  <si>
    <t>RATIO INVERSIÓN SUBVENCIONADA DIVIDIDA ENTRE LA CREACIÓN DE EMPLEO ES MAYOR QUE 150.000€</t>
  </si>
  <si>
    <t>CS9</t>
  </si>
  <si>
    <t>GRADO DE PARTICIPACION Y COOPERACIÓN DE QUIEN PROMUEVE EL PROYECTO</t>
  </si>
  <si>
    <t>CS9.1</t>
  </si>
  <si>
    <t>PARTICIPACIÓN EN ASOCIACIONES O CUALQUIER OTRAS ESTRUCTURAS DE COOPERACIÓN VERTICAL U HORIZONTAL</t>
  </si>
  <si>
    <t>CS9.2</t>
  </si>
  <si>
    <t>PARTICIPACIÓN EN ASOCIACIONES O CUALQUIER OTRAS ESTRUCTURAS DE COOPERACIÓN VERTICAL U HORIZONTAL CON DOMICILIO EN LA COMARCA</t>
  </si>
  <si>
    <t>CS9.3</t>
  </si>
  <si>
    <t>PARTICIPACIÓN EN ASOCIACIONES O CUALQUIER OTRAS ESTRUCTURAS ENTRE CUYOS OBJETIVOS PRINCIPALES SE ENCUENTRE ALGUNO DE LOS OBJETIVOS TRANSVERSALES</t>
  </si>
  <si>
    <t>CS9.4</t>
  </si>
  <si>
    <t>PARTICIPACIÓN EN ACCIONES Y/O ACTIVIDADES DE COOPERACIÓN HORIZONTAL-VERTICAL</t>
  </si>
  <si>
    <t>CS10</t>
  </si>
  <si>
    <t>ACCESO Y CALIDAD DE LOS SERVICIOS DE PROXIMIDAD</t>
  </si>
  <si>
    <t>CS10.1</t>
  </si>
  <si>
    <t xml:space="preserve">CREACIÓN DE NUEVOS SERVICIOS DE PROXIMIDAD </t>
  </si>
  <si>
    <t>CS10.2</t>
  </si>
  <si>
    <t>MEJORA DE SERVICIOS DE PROXIMIDAD RELACIONADOS CON LA MEJORA DE LOS SERVICIOS MEDIOAMBIENTALES</t>
  </si>
  <si>
    <t>CS10.3</t>
  </si>
  <si>
    <t>MEJORA DE SERVICIOS DE PROXIMIDAD RELACIONADOS CON LA MEJORA DE CONCILIACIÓN PARA HOMBRES Y MUJERES</t>
  </si>
  <si>
    <t>CS10.4</t>
  </si>
  <si>
    <t>MEJORA DE SERVICIOS DE PROXIMIDAD QUE PROVOQUE UNA MAYOR OFERTA DE OCIO JUVENIL</t>
  </si>
  <si>
    <t>CS10.5</t>
  </si>
  <si>
    <t>MEJORA DE SERVICIOS DE PROXIMIDAD DIRIGIDOS A LAS PERSONAS MAYORES</t>
  </si>
  <si>
    <t>CS10.6</t>
  </si>
  <si>
    <t>MEJORA DE SERVICIOS DE PROXIMIDAD DIRIGIDOS A PERSONAS CON DISCAPACIDAD</t>
  </si>
  <si>
    <t>CS10.7</t>
  </si>
  <si>
    <t>MEJORA DE SERVICIOS DE PROXIMIDAD DIRIGIDOS A PERSONAS EN RIESGO DE EXCLUSIÓN SOCIAL</t>
  </si>
  <si>
    <t>CS10.8</t>
  </si>
  <si>
    <t>MEJORA DE OTROS SERVICIOS DE PROXIMIDAD DIRIGIDOS A PERSONAS NO INCLUIDAS EN LOS COLECTIVOS ANTERIORES</t>
  </si>
  <si>
    <t>En este caso se asigna la menor puntuación.</t>
  </si>
  <si>
    <t>CS11</t>
  </si>
  <si>
    <t>VIABILIDAD ECONOMICA, FINANCIERA Y SOLVENCIA</t>
  </si>
  <si>
    <t>CS11.1</t>
  </si>
  <si>
    <t>RATIO DE EFICACIA ES MAYOR QUE 1</t>
  </si>
  <si>
    <t>Si cumple el ratio se asigna este valor.</t>
  </si>
  <si>
    <t xml:space="preserve">RATIO DE EFICACIA ESTA ENTRE 0,5 Y 1 </t>
  </si>
  <si>
    <t>RATIO DE EFICACIA ES MENOR QUE 0,5</t>
  </si>
  <si>
    <t>CS11.2</t>
  </si>
  <si>
    <t>RATIO DE LIQUIDEZ ESTA ENTRE 1,5 Y 2</t>
  </si>
  <si>
    <t xml:space="preserve">RATIO DE LIQUIDEZ ESTA ENTRE 1 Y 1,5 </t>
  </si>
  <si>
    <t>RATIO DE LIQUIDEZ ES MENOR QUE 1</t>
  </si>
  <si>
    <t>CS11.3</t>
  </si>
  <si>
    <t>RATIO DE ENDEUDAMIENTO ESTA ENTRE 0 Y 0,5</t>
  </si>
  <si>
    <t xml:space="preserve">RATIO DE ENDEUDAMIENTO ESTA ENTRE 0,5 Y 1 </t>
  </si>
  <si>
    <t>RATIO DE ENDEUDAMIENTO ES MAYOR QUE 1</t>
  </si>
  <si>
    <t>CS11.4</t>
  </si>
  <si>
    <t>RATIO DE RENTABILIDAD ECONOMICA ES MAYOR AL 15%</t>
  </si>
  <si>
    <t xml:space="preserve">RATIO DE RENTABIL. ECONOMICA ESTA ENTRE 5 % Y 15% </t>
  </si>
  <si>
    <t>RATIO DE RENTABIL.ECONOMICA ES MENOR AL 5%</t>
  </si>
  <si>
    <t>CS11.5</t>
  </si>
  <si>
    <t>RATIO DE INDEPENCIA FINANCIERA ES MAYOR O IGUAL AL 100%</t>
  </si>
  <si>
    <t xml:space="preserve">RATIO DE INDEPENDENCIA FINANCIERA ES MENOR AL 100% </t>
  </si>
  <si>
    <t>CS12</t>
  </si>
  <si>
    <t>GRADO DE INNOVACIÓN DEL PROYECTO</t>
  </si>
  <si>
    <t>CS12.1</t>
  </si>
  <si>
    <t>INCORPORACIÓN DE AL MENOS 7 ELEMENTOS INNOVADORES SOCIALES</t>
  </si>
  <si>
    <t>Si se argumenta la existencia de ese nº de elementos innovadores de forma conveniente se le asigna esta puntuación.</t>
  </si>
  <si>
    <t>CS12.2</t>
  </si>
  <si>
    <t>INCORPORACIÓN DE AL MENOS 6 ELEMENTOS INNOVADORES SOCIALES</t>
  </si>
  <si>
    <t xml:space="preserve">Si se argumenta la existencia de ese nº de elementos innovadores de forma conveniente se le asigna esta puntuación. </t>
  </si>
  <si>
    <t>CS12.3</t>
  </si>
  <si>
    <t>INCORPORACIÓN DE AL MENOS 5 ELEMENTOS INNOVADORES SOCIALES</t>
  </si>
  <si>
    <t>CS12.4</t>
  </si>
  <si>
    <t>INCORPORACIÓN DE AL MENOS 4 ELEMENTOS INNOVADORES SOCIALES</t>
  </si>
  <si>
    <t>CS12.5</t>
  </si>
  <si>
    <t>INCORPORACIÓN DE AL MENOS 3 ELEMENTOS INNOVADORES SOCIALES</t>
  </si>
  <si>
    <t>CS12.6</t>
  </si>
  <si>
    <t>INCORPORACIÓN DE AL MENOS 2 ELEMENTOS INNOVADORES SOCIALES</t>
  </si>
  <si>
    <t>CS12.7</t>
  </si>
  <si>
    <t>INCORPORACIÓN DE AL MENOS 1 ELEMENTO INNOVADOR SOCIAL</t>
  </si>
  <si>
    <t>CS13</t>
  </si>
  <si>
    <t>NUMERO DE NECESIDADES QUE CUBRE DE LA ESTRATEGIA</t>
  </si>
  <si>
    <t>CS13.1</t>
  </si>
  <si>
    <t>JUSTIFICACIÓN DE AL MENOS 5 NECESIDADES PRIORITARIAS IDENTIFICADAS EN LA EDL SIERRA SUR DE JAÉN</t>
  </si>
  <si>
    <t>Si se justifica que el proyecto responde a ese nº de necesidades de forma conveniente se le asigna esta puntuación.</t>
  </si>
  <si>
    <t>CS13.2</t>
  </si>
  <si>
    <t>JUSTIFICACIÓN DE AL MENOS 4 NECESIDADES PRIORITARIAS IDENTIFICADAS EN LA EDL SIERRA SUR DE JAÉN</t>
  </si>
  <si>
    <t>CS13.3</t>
  </si>
  <si>
    <t>JUSTIFICACIÓN DE AL MENOS 3 NECESIDADES PRIORITARIAS IDENTIFICADAS EN LA EDL SIERRA SUR DE JAÉN</t>
  </si>
  <si>
    <t>CS13.4</t>
  </si>
  <si>
    <t>JUSTIFICACIÓN DE AL MENOS 2 NECESIDADES PRIORITARIAS IDENTIFICADAS EN LA EDL SIERRA SUR DE JAÉN</t>
  </si>
  <si>
    <t>CS13.5</t>
  </si>
  <si>
    <t>JUSTIFICACIÓN DE AL MENOS 1 NECESIDAD PRIORITARIAS IDENTIFICADAS EN LA EDL SIERRA SUR DE JAÉN</t>
  </si>
  <si>
    <t>ANEXO A: TABLAS DE ELEMENTOS INNOVADORES</t>
  </si>
  <si>
    <t>CÓDIGO</t>
  </si>
  <si>
    <t>SI/NO</t>
  </si>
  <si>
    <t>AIE1</t>
  </si>
  <si>
    <t>RENOVAR LA GAMA DE PRODUCTOS O SERVICIOS</t>
  </si>
  <si>
    <t>AIE2</t>
  </si>
  <si>
    <t>AMPLIAR LA GAMA DE PRODUCTOS O SERVICIOS</t>
  </si>
  <si>
    <t>AIE3</t>
  </si>
  <si>
    <t>DESARROLLAR PRODUCTOS O SERVICIOS MÁS RESPETUOSOS CON EL MEDIO AMBIENTE</t>
  </si>
  <si>
    <t>AIE4</t>
  </si>
  <si>
    <t>INCORPORAR CAMBIOS EN EL DISEÑO DEL PRODUCTO O SERVICIO QUE PERMITAN AMPLIAR CUOTA DE MERCADO</t>
  </si>
  <si>
    <t>AIE5</t>
  </si>
  <si>
    <t>INCORPORAR CAMBIOS EN FUNCIONES DEL PRODUCTO O SERVICIO QUE PERMITAN AMPLIAR CUOTA DE MERCADO</t>
  </si>
  <si>
    <t>AIE6</t>
  </si>
  <si>
    <t>INTRODUCIRSE EN NUEVOS MERCADOS</t>
  </si>
  <si>
    <t>AIE7</t>
  </si>
  <si>
    <t>AUMENTAR LA VISIBILIDAD DE LOS PRODUCTOS</t>
  </si>
  <si>
    <t>AIE8</t>
  </si>
  <si>
    <t>REDUCIR EL PLAZO DE RESPUESTA A LAS NECESIDADES DE LA CLIENTELA</t>
  </si>
  <si>
    <t>AIE9</t>
  </si>
  <si>
    <t>MEJORAR LA CALIDAD DE LOS BIENES Y SERVICIOS</t>
  </si>
  <si>
    <t>AIE10</t>
  </si>
  <si>
    <t>MEJORAR LA FLEXIBILIDAD DE LA PRODUCCIÓN O LA PRESTACIÓN DEL SERVICIO</t>
  </si>
  <si>
    <t>AIE11</t>
  </si>
  <si>
    <t>REDUCIR LOS COSTES LABORALES UNITARIOS</t>
  </si>
  <si>
    <t>AIE12</t>
  </si>
  <si>
    <t>REDUCIR EL CONSUMO DE MATERIALES Y DE ENERGÍA</t>
  </si>
  <si>
    <t>AIE13</t>
  </si>
  <si>
    <t>REDUCIR LOS COSTES DE DISEÑO DE LOS PRODUCTOS</t>
  </si>
  <si>
    <t>AIE14</t>
  </si>
  <si>
    <t>REDUCIR LAS DEMORAS EN LA PRODUCCIÓN O EN LA PRESTACIÓN DEL SERVICIO</t>
  </si>
  <si>
    <t>AIE15</t>
  </si>
  <si>
    <t>CUMPLIR NORMATIVA TÉCNICA ASOCIADA A LA ACTIVIDAD</t>
  </si>
  <si>
    <t>AIE16</t>
  </si>
  <si>
    <t>REDUCIR COSTES DE EXPLOTACIÓN VINCULADOS A LA PRESTACIÓN DE SERVICIOS</t>
  </si>
  <si>
    <t>AIE17</t>
  </si>
  <si>
    <t>AUMENTAR EFICIENCIA O RAPIDEZ DEL APROVISIONAMIENTO Y/O DEL SUMINISTRO DE INPUTS</t>
  </si>
  <si>
    <t>AIE18</t>
  </si>
  <si>
    <t>MEJORAR LOS SISTEMAS DE INFORMACIÓN EMPRESARIALES GRACIAS A LA TECNOLOGÍA DE LA INFORMACIÓN</t>
  </si>
  <si>
    <t>AIE19</t>
  </si>
  <si>
    <t>MEJORAR COMUNICACIÓN E INTERACCIÓN EN EL SENO DE LA EMPRESA</t>
  </si>
  <si>
    <t>AIE20</t>
  </si>
  <si>
    <t>INTENSIFICAR LA TRANSFERENCIA DE CONOCIMIENTO CON OTRAS ORGANIZACIONES</t>
  </si>
  <si>
    <t>AIE21</t>
  </si>
  <si>
    <t>AUMENTAR LA ADAPTABILIDAD A LAS DISTINTAS DEMANDAS DE LA CLIENTELA</t>
  </si>
  <si>
    <t>AIE22</t>
  </si>
  <si>
    <t>ESTABLECER RELACIONES MÁS ESTRECHAS CON LA CLIENTELA</t>
  </si>
  <si>
    <t>AIE23</t>
  </si>
  <si>
    <t>MEJORAR LAS CONDICIONES DE TRABAJO</t>
  </si>
  <si>
    <t>AIE24</t>
  </si>
  <si>
    <t>REDUCIR EL IMPACTO AMBIENTAL O MEJORAR LA SANIDAD Y LA SEGURIDAD</t>
  </si>
  <si>
    <t>AIE25</t>
  </si>
  <si>
    <t>CUALQUIER OTRA CIRCUNSTANCIA QUE RESPONDA A CUALQUIER TIPO DE INNOVACIÓN (PRODUCTO, PROCESO…)</t>
  </si>
  <si>
    <t>Maximo</t>
  </si>
  <si>
    <t xml:space="preserve">Periodo elegible para puntuar: Debe existir antes de la Solicitud de Ayuda.  En las instalaciones de la entidad promotora. </t>
  </si>
  <si>
    <t>Fecha</t>
  </si>
  <si>
    <t>Tipo Empresa:</t>
  </si>
  <si>
    <t>Total Inversión</t>
  </si>
  <si>
    <t>Si/No</t>
  </si>
  <si>
    <t>No</t>
  </si>
  <si>
    <t>Si</t>
  </si>
  <si>
    <t>Puntos</t>
  </si>
  <si>
    <t>TOTAL</t>
  </si>
  <si>
    <t>Zona</t>
  </si>
  <si>
    <t>ID</t>
  </si>
  <si>
    <t>Zona Geográfica</t>
  </si>
  <si>
    <t>Complementario</t>
  </si>
  <si>
    <t>Criterio</t>
  </si>
  <si>
    <t>Subcriterio</t>
  </si>
  <si>
    <t>Valor</t>
  </si>
  <si>
    <t>Cantidad</t>
  </si>
  <si>
    <t>En,</t>
  </si>
  <si>
    <t>Fdo.</t>
  </si>
  <si>
    <t>TABLA DE NECESIDADES ORDENADAS SEGÚN RESULTADOS ENCUESTA DE PRIORIZACION</t>
  </si>
  <si>
    <t>Apoyo a la creación, ampliación y modernización de pequeñas y medianas empresas (pymes) que consoliden y refuercen el tejido industrial comarcal.</t>
  </si>
  <si>
    <t>N.1</t>
  </si>
  <si>
    <t>Mejora de la comercialización del aceite de oliva, con especial atención al aove (aceite oliva virgen extra).</t>
  </si>
  <si>
    <t>N.2</t>
  </si>
  <si>
    <t>Mejora de la calidad del empleo, dotándolo de estabilidad y reduciendo temporalidad.</t>
  </si>
  <si>
    <t>N.3</t>
  </si>
  <si>
    <t>Mejora de la oferta de servicios, impulsando la implantación de nuevas empresas, la diversificación de las existentes, y la promoción de los nuevos yacimientos de empleo.</t>
  </si>
  <si>
    <t>N.4</t>
  </si>
  <si>
    <t>Diversificación de la actividad empresarial e industrial de la comarca, favoreciendo la instalación de empresas en municipios de menor población con mayor dependencia del sector agrícola, ganadero y agroalimentario, contribuyendo a la erradicación de la economía sumergida, la competencia desleal y la excesiva dependencia de los subsidios.</t>
  </si>
  <si>
    <t>N.5</t>
  </si>
  <si>
    <t>Diversificación de la producción agrícola con la introducción de cultivos alternativos que reduzcan la excesiva dependencia del monocultivo del olivar.</t>
  </si>
  <si>
    <t>N.6</t>
  </si>
  <si>
    <t>Dotación de infraestructuras y equipamientos industriales de calidad.</t>
  </si>
  <si>
    <t>N.7</t>
  </si>
  <si>
    <t>Fomento de proyectos de I+D+I (innovación, desarrollo e investigación), apoyados en los centros tecnológicos existentes, promoviendo ejes industriales en torno a sectores de actividad con potencialidad confirmada como la industria del plástico.</t>
  </si>
  <si>
    <t>N.8</t>
  </si>
  <si>
    <t>Apoyo a proyectos promovidos en todos los sectores de actividad, que garanticen la productividad supeditada a la generación de empleo estable y de calidad.</t>
  </si>
  <si>
    <t>N.9</t>
  </si>
  <si>
    <t>Desarrollo e implantación de las energías renovables: biomasa, solar, eólica e hidroeléctrica, promoviendo su utilización por las empresas, de cara a la reducción de emisiones de gases a la atmósfera y a la lucha contra el cambio climático.</t>
  </si>
  <si>
    <t>N.10</t>
  </si>
  <si>
    <t xml:space="preserve">Promoción de la agricultura ecológica e incorporación de mayor valor añadido a los productos agroalimentarios locales. </t>
  </si>
  <si>
    <t>N.11</t>
  </si>
  <si>
    <t xml:space="preserve">Fomento de actividades empresariales y actuaciones que favorezcan la sostenibilidad y la biodiversidad: industria asociada al reciclaje de residuos, depuración de aguas residuales, empresas relacionadas con las energías renovables, ligadas a reserva astronómica Starlight, gestión de vertederos incontrolados, aprovechamientos forestales. </t>
  </si>
  <si>
    <t>N.12</t>
  </si>
  <si>
    <t>Mejora del empleo, con especial atención a la población joven, a través del apoyo al autoempleo y a fórmulas de cooperativismo y asociacionismo mercantil.</t>
  </si>
  <si>
    <t>N.13</t>
  </si>
  <si>
    <t>Diversificación turística incorporando diferenciación, autenticidad,  y potenciando segmentos emergentes como el Astroturismo y el Oleoturismo.</t>
  </si>
  <si>
    <t>N.14</t>
  </si>
  <si>
    <t xml:space="preserve">Mejora del acceso a recursos e incentivos para empresas, instituciones y organizaciones sin ánimo de lucro, facilitando su tramitación administrativa.  </t>
  </si>
  <si>
    <t>N.15</t>
  </si>
  <si>
    <t>Divulgación y promoción mediática de los recursos y productos turísticos existentes.</t>
  </si>
  <si>
    <t>N.16</t>
  </si>
  <si>
    <t xml:space="preserve">Concienciación del empresariado acerca de la importancia de los recursos humanos como parte fundamental en la productividad de la empresa. </t>
  </si>
  <si>
    <t>N.17</t>
  </si>
  <si>
    <t>Fomento de la cultura emprendedora entre las mujeres, a través de la promoción y el efecto demostrativo de experiencias de éxito llevadas a cabo por mujeres.</t>
  </si>
  <si>
    <t>N.18</t>
  </si>
  <si>
    <t>Fortalecimiento de las infraestructuras y los espacios públicos con equipamiento adecuado y de calidad.</t>
  </si>
  <si>
    <t>N.19</t>
  </si>
  <si>
    <t>Mejora de la accesibilidad a los recursos y servicios básicos, y apoyo de iniciativas cuyo objeto sea el cuidado y atención de personas con dependencia</t>
  </si>
  <si>
    <t>N.20</t>
  </si>
  <si>
    <t>Fomento de una mayor participación e implicación social de la población, especialmente de la población joven.</t>
  </si>
  <si>
    <t>N.21</t>
  </si>
  <si>
    <t xml:space="preserve">Mejora de las infraestructuras medioambientales, en especial las de tratamiento de aguas y de residuos. </t>
  </si>
  <si>
    <t>N.22</t>
  </si>
  <si>
    <t>Desarrollo de la competitividad turística aumentando la insuficiente capacidad hostelera.</t>
  </si>
  <si>
    <t>N.23</t>
  </si>
  <si>
    <t>Fomento de la inserción laboral de personas pertenecientes a colectivos con especiales dificultades de incorporación al mercado laboral.</t>
  </si>
  <si>
    <t>N.24</t>
  </si>
  <si>
    <t>Mejora del acceso a la financiación ajena, en particular a nuevos emprendedores y jóvenes.</t>
  </si>
  <si>
    <t>N.25</t>
  </si>
  <si>
    <t>Fomento del turismo de naturaleza, de termalismo y balnearios, monumental y cultural, y turismo activo, incluyendo la señalización del recurso.</t>
  </si>
  <si>
    <t>N.26</t>
  </si>
  <si>
    <t xml:space="preserve">Mejora de la coordinación institucional público-privada, fomentando la transparencia global. </t>
  </si>
  <si>
    <t>N.27</t>
  </si>
  <si>
    <t>Mejora de la empleabilidad de la población joven, apoyando programas de asesoramiento y orientación para la búsqueda de empleo y para el autoempleo.</t>
  </si>
  <si>
    <t>N.28</t>
  </si>
  <si>
    <t xml:space="preserve">Apoyo a las iniciativas de emprendimiento de jóvenes, proporcionando asesoramiento para la puesta en marcha y financiación de sus proyectos y aplicando la discriminación positiva en su baremación.  </t>
  </si>
  <si>
    <t>N.29</t>
  </si>
  <si>
    <t>Freno al despoblamiento de las zonas rurales,  mejorando el retorno de población emigrante.</t>
  </si>
  <si>
    <t>N.30</t>
  </si>
  <si>
    <t>Promoción de la creación de una denominación de origen de aceite oliva comarcal que aporte un plus al producto y ofrezca una mejor comercialización.</t>
  </si>
  <si>
    <t>N.31</t>
  </si>
  <si>
    <t>Fomento de un asesoramiento eficiente para iniciativas de personas emprendedoras en el sector servicios, en particular las promovidas por jóvenes y mujeres.</t>
  </si>
  <si>
    <t>N.32</t>
  </si>
  <si>
    <t>Implantación de buenas prácticas agrícolas y ganaderas, que garanticen una renta agraria mínima para los agricultores y ganaderos, favoreciendo su fijación al medio rural, ayudando a la explotación sostenible de su actividad y a la conservación del medioambiente.</t>
  </si>
  <si>
    <t>N.33</t>
  </si>
  <si>
    <t>Mejora de la deficiente estructura interna de las empresas industriales.</t>
  </si>
  <si>
    <t>N.34</t>
  </si>
  <si>
    <t>Mejora de la formación y cualificación de la población de la comarca en diferentes ámbitos de conocimiento: empleabilidad, cultura emprendedora, cualificación empresarial y laboral y sensibilización-dinamización de la población.</t>
  </si>
  <si>
    <t>N.35</t>
  </si>
  <si>
    <t>Mejora del posicionamiento del comercio local y de otros servicios locales frente a la gran distribución (grandes superficies, comercio global,..).</t>
  </si>
  <si>
    <t>N.36</t>
  </si>
  <si>
    <t>Aumento de la inversión en actuaciones sobre el patrimonio monumental, histórico, artístico y cultural de la comarca que mejore la calidad del destino turístico.</t>
  </si>
  <si>
    <t>N.37</t>
  </si>
  <si>
    <t>Programación de actividades culturales, deportivas y medioambientales diseñadas teniendo en cuenta de manera específica las expectativas y los intereses de la población joven, de manera que se promueva su participación.</t>
  </si>
  <si>
    <t>N.38</t>
  </si>
  <si>
    <t xml:space="preserve">Impulso de la coordinación institucional efectiva, de cara al mejor aprovechamiento de los recursos disponibles. </t>
  </si>
  <si>
    <t>N.39</t>
  </si>
  <si>
    <t xml:space="preserve">Mejora de la integración cooperativa agrícola y ganadera que permita una dimensión adecuada para conseguir mayor rentabilidad, autonomía e independencia frente a terceros. </t>
  </si>
  <si>
    <t>N.40</t>
  </si>
  <si>
    <t>Mejora de la competitividad de las explotaciones agrícolas y ganaderas.</t>
  </si>
  <si>
    <t>N.41</t>
  </si>
  <si>
    <t>Atención de la demanda creciente no cubierta de productos agroalimentarios autóctonos de calidad certificada a nivel nacional e internacional.</t>
  </si>
  <si>
    <t>N.42</t>
  </si>
  <si>
    <t>Impulso de las infraestructuras y los servicios de información y comunicación, así como de su accesibilidad, de cara a corregir la brecha digital.</t>
  </si>
  <si>
    <t>N.43</t>
  </si>
  <si>
    <t>Implantación de la administración electrónica en la prestación de los servicios públicos, favoreciendo la simplificación de los trámites administrativos.</t>
  </si>
  <si>
    <t>N.44</t>
  </si>
  <si>
    <t>Asesoramiento para la búsqueda de empleo y fomento de las políticas activas de empleo en el medio rural.</t>
  </si>
  <si>
    <t>N.45</t>
  </si>
  <si>
    <t xml:space="preserve">Sensibilización y educación ambiental en todas sus vertientes: gestión sostenible de los recursos, reducción de la contaminación lumínica de los cielos nocturnos, descenso del consumo energético, impulso del reciclaje de residuos industriales y urbanos.  </t>
  </si>
  <si>
    <t>N.46</t>
  </si>
  <si>
    <t>Fomento de la participación sociopolítica de la mujer y su presencia en los niveles de la toma de decisiones, propiciando una composición paritaria en los órganos de representación y decisión, e incorporando la perspectiva de género en la actuación de todas las instituciones.</t>
  </si>
  <si>
    <t>N.47</t>
  </si>
  <si>
    <t>Fomento de programas de asesoramiento y orientación para la búsqueda de empleo dirigidos a mujeres.</t>
  </si>
  <si>
    <t>N.48</t>
  </si>
  <si>
    <t xml:space="preserve">Apoyo a las iniciativas que favorezcan la conciliación. </t>
  </si>
  <si>
    <t>N.49</t>
  </si>
  <si>
    <t xml:space="preserve">Formación y cualificación especializadas, adaptadas a las necesidades del mercado laboral de la comarca (impartición privada de certificaciones oficiales de profesionalidad, postgrados más accesibles, etc.). </t>
  </si>
  <si>
    <t>N.50</t>
  </si>
  <si>
    <t>Implantación de sistemas de eficiencia energética que contribuyan a la lucha contra el cambio climático y favorezcan la preservación de la biodiversidad.</t>
  </si>
  <si>
    <t>N.51</t>
  </si>
  <si>
    <t xml:space="preserve">Consolidación de la gestión territorial en base a la filosofía leader que fomentan las asociaciones para el desarrollo rural como referentes del crecimiento socioeconómico sostenible, dotando los programas con recursos equilibrados acorde a las funciones conferidas. </t>
  </si>
  <si>
    <t>N.52</t>
  </si>
  <si>
    <t xml:space="preserve">Apoyo a emprendedoras en el desarrollo de sus proyectos, proporcionando financiación y asesoramiento para su puesta en marcha, aplicando la discriminación positiva en su baremación, y contribuyendo a reducir la emigración de las mujeres jóvenes cualificadas que facilite su permanencia en la comarca. </t>
  </si>
  <si>
    <t>N.53</t>
  </si>
  <si>
    <t>Creación y consolidación de un tejido asociativo fuerte y participativo que favorezca una mayor presencia de todos los sectores de la población en la vida social de la comarca e impulse el voluntariado.</t>
  </si>
  <si>
    <t>N.54</t>
  </si>
  <si>
    <t xml:space="preserve">Avance hacia la accesibilidad integral como valor indispensable de nuestro turismo. </t>
  </si>
  <si>
    <t>N.55</t>
  </si>
  <si>
    <t>Fomento de la identidad comarcal de la población, huyendo de localismos y favoreciendo proyectos y actividades integrales que beneficien al conjunto de la comarca.</t>
  </si>
  <si>
    <t>N.56</t>
  </si>
  <si>
    <t xml:space="preserve">Fomento de la cultura emprendedora entre la población joven, a través de la promoción y el efecto demostrativo de experiencias de éxito llevadas a cabo por jóvenes de la cultura emprendedora en los jóvenes. </t>
  </si>
  <si>
    <t>N.57</t>
  </si>
  <si>
    <t>Fomento de la gestión económica sostenible de los recursos naturales que genere complementos económicos preservando el medioambiente.</t>
  </si>
  <si>
    <t>N.58</t>
  </si>
  <si>
    <t xml:space="preserve">Sensibilización de la población joven para la eliminación de comportamientos y estereotipos sexistas, apoyando iniciativas dirigidas a la comunidad educativa. </t>
  </si>
  <si>
    <t>N.59</t>
  </si>
  <si>
    <t>Apoyo a las iniciativas que contribuyan al relevo generacional en las asociaciones de mujeres, a la participación de mujeres jóvenes y a la lucha contra la asunción propia de estereotipos de género.</t>
  </si>
  <si>
    <t>N.60</t>
  </si>
  <si>
    <t xml:space="preserve">Dotación de lugares de encuentro para la población joven y fomento de iniciativas que favorezcan el desarrollo de habilidades sociales, la educación en valores y los hábitos saludables a través del ocio. </t>
  </si>
  <si>
    <t>N.61</t>
  </si>
  <si>
    <t>Visibilización del papel de la mujer agrícola y ganadera: concienciación sobre su escaso reconocimiento social, divulgación de su aportación clave en las explotaciones, eliminación de micromachismos y de la excesiva dependencia conyugal muy marcada en el sector.</t>
  </si>
  <si>
    <t>N.62</t>
  </si>
  <si>
    <t>Fomento de la participación de la población joven en la escena social y política comarcal, impulsando la creación de consejos municipales de juventud y fomentando la presencia de jóvenes en los órganos de dirección de instituciones y entidades.</t>
  </si>
  <si>
    <t>N.63</t>
  </si>
  <si>
    <t>Mejora tecnológica del comercio local y otros servicios locales (comercio electrónico, redes sociales, dispositivos móviles…).</t>
  </si>
  <si>
    <t>N.64</t>
  </si>
  <si>
    <t>Implantación de mecanismos que contribuyan a la eficiencia y a la transparencia en los procesos administrativos.</t>
  </si>
  <si>
    <t>N.65</t>
  </si>
  <si>
    <t xml:space="preserve">Promoción del asociacionismo del sector turístico. </t>
  </si>
  <si>
    <t>N.66</t>
  </si>
  <si>
    <t>Búsqueda de una calidad homogénea en los servicios ofertados, con atención post-venta competente, y la consecución de la satisfacción plena del cliente.</t>
  </si>
  <si>
    <t>N.67</t>
  </si>
  <si>
    <t>Fomento de prácticas para sensibilización y mejora del control en relación a los productores e intermediarios sin legalizar.</t>
  </si>
  <si>
    <t>N.68</t>
  </si>
  <si>
    <t>Fomento de la primera instalación de agricultores y ganaderos garantizando el relevo generacional.</t>
  </si>
  <si>
    <t>N.69</t>
  </si>
  <si>
    <t>Planificación específica atendiendo la dualidad de la agricultura comarcal: zona de montaña con baja productividad por orografía y excesiva parcelación de la tierra frente a campiña con explotaciones más intensivas y rentables.</t>
  </si>
  <si>
    <t>N.70</t>
  </si>
  <si>
    <t>Implantación de mecanismos que garanticen el acceso y las condiciones laborales de las mujeres en condiciones de igualdad, apoyando iniciativas que favorezcan la conciliación.</t>
  </si>
  <si>
    <t>N.71</t>
  </si>
  <si>
    <t>Impulso del asociacionismo juvenil y la incorporación en las asociaciones de contenidos relevantes, útiles y de interés, que promuevan la participación de la población joven.</t>
  </si>
  <si>
    <t>N.72</t>
  </si>
  <si>
    <t xml:space="preserve">Declaración de parque natural protegido u otra figura de protección para la sierra sur de Jaén que garantice la permanencia de su biodiversidad y su patrimonio natural. </t>
  </si>
  <si>
    <t>N.73</t>
  </si>
  <si>
    <t>Impulso del asociacionismo empresarial.</t>
  </si>
  <si>
    <t>N.74</t>
  </si>
  <si>
    <t>Diseño e implantación de un plan de igualdad comarcal.</t>
  </si>
  <si>
    <t>N.75</t>
  </si>
  <si>
    <t>Constitución de una federación comarcal de mujeres que de voz a sus aspiraciones a todos los niveles y en todos los organismos e instituciones, promoviendo la creación de una escuela comarcal de género que contribuya a la Visibilización del papel de la mujer.</t>
  </si>
  <si>
    <t>N.76</t>
  </si>
  <si>
    <t>Dotación de instalaciones y equipamientos para organizaciones y asociaciones, especialmente las que promuevan la igualdad de género y las juveniles, facilitando su gestión interna, promocionando su actividad social y mejorando el servicio prestado a las personas usuarias y garantizando el acceso a las nuevas tecnologías de comunicación e información digital.</t>
  </si>
  <si>
    <t>N.77</t>
  </si>
  <si>
    <t>Mayor inversión en la prevención de la violencia de género y en la eliminación de la tolerancia social ante este fenómeno, con especial atención a las actuaciones dirigidas a mujeres jóvenes.</t>
  </si>
  <si>
    <t>N.78</t>
  </si>
  <si>
    <t>Dinamización de la participación social contribuyendo al asociacionismo de cualquier naturaleza, a la sensibilización de la población para la adopción de hábitos saludables y al reconocimiento por parte de la misma de los recursos comarcales.</t>
  </si>
  <si>
    <t>N.79</t>
  </si>
  <si>
    <t>Desarrollo de campañas de sensibilización y acciones formativas en: coeducación, eliminación de estereotipos sexistas, liderazgo y autoestima para mujeres, transversalidad de género. Capacitación de las mujeres para el uso de nuevas tecnologías y entornos digitales.</t>
  </si>
  <si>
    <t>N.80</t>
  </si>
  <si>
    <t>ANEXO B: TABLA DE NECESIDADES PRIORIZADAS</t>
  </si>
  <si>
    <t>Necesidad</t>
  </si>
  <si>
    <t>Firma</t>
  </si>
  <si>
    <t>RATIO DE EFICACIA</t>
  </si>
  <si>
    <t>RATIO DE LIQUIDEZ</t>
  </si>
  <si>
    <t>B) RATIOS A VALORAR EN TODAS LA SOLICITUDES PROMOVIDAS POR EMPRESAS "PERSONAS JURIDICAS" QUE YA ESTAN CREADAS Y EN FUNCIONAMIENTO</t>
  </si>
  <si>
    <t>RATIO DE ENDEUDAMIENTO</t>
  </si>
  <si>
    <t>RATIO DE RENTABILIDAD</t>
  </si>
  <si>
    <t>RATIO DE INDEPENDENCIA</t>
  </si>
  <si>
    <t>Puntuación &lt; 25</t>
  </si>
  <si>
    <t>No indica necesidades</t>
  </si>
  <si>
    <t>Nueva Empresa:</t>
  </si>
  <si>
    <t>VERDADERO/FALSO</t>
  </si>
  <si>
    <t>Alertas</t>
  </si>
  <si>
    <t>LOS VILLARES</t>
  </si>
  <si>
    <t>Filtros</t>
  </si>
  <si>
    <t>Memoria; Informe Vida Laboral de la entidad promotora (Código Cuenta Cotización).</t>
  </si>
  <si>
    <t>TC1/ TC2 S. Social y justificantes de pago; Contratos de Trabajo Registrados en SEPE; Informe Vida Laboral de la entidad promotora (Código Cuenta Cotización).</t>
  </si>
  <si>
    <t>Certificado de persona con discapacidad emitida por la Consejería de Bienestar Social.</t>
  </si>
  <si>
    <t>Certificado de persona en riesgo de exclusión social emitido por los Servicios Sociales Municipales.</t>
  </si>
  <si>
    <t>Certificado de persona con discapacidad emitido por la Consejería de Bienestar Social; Certificado de persona en riesgo de exclusión social emitido por los Servicios Sociales Municipales.</t>
  </si>
  <si>
    <t>Certificado de empadronamiento emitido por el Ayto. donde resida; Informe Vida Laboral de la entidad promotora (Código Cuenta Cotización).</t>
  </si>
  <si>
    <t>Memoria; Acta de no inicio; Doc. Gráfica de la ubicación.</t>
  </si>
  <si>
    <t>Acta Final de Ejecución; Doc. gráfica de la inversión.</t>
  </si>
  <si>
    <t>Bases de Datos Oficiales de Ayudas Publicas (TESEO, GEA, RUD); Declaración Expresa Responsable de otras ayudas recibidas en los 7 años anteriores y de otras ayudas para este proyecto.</t>
  </si>
  <si>
    <t>Memoria; Escrituras de Constitución de Sociedades Mercantiles; Documento de Alta en S. Social y la Declaración Censal de la persona autónoma.</t>
  </si>
  <si>
    <t xml:space="preserve">Acta de no inicio; Doc. Gráfica de la ubicación. </t>
  </si>
  <si>
    <t xml:space="preserve">Memoria; </t>
  </si>
  <si>
    <t>Memoria; Certificado de empadronamiento y/o informe de residencia pasada emitido por el Ayuntamiento; Escrituras de Constitución de Sociedades Mercantiles modificadas en su caso.</t>
  </si>
  <si>
    <t>Memoria; Contabilidad Oficial de los 3 últimos ejercicios cerrados (Perdidas y Ganancias; Balance de Situación), para empresas personas físicas; Declaración de la Renta de los 3 últimos ejercicios cerrados, para empresas p.jurídicas; Informe Vida Laboral de la entidad promotora (Código Cuenta Cotización).</t>
  </si>
  <si>
    <t>Memoria; Documentación acreditativa de pertenencia a la Organización o Entidad a la que está asociada.</t>
  </si>
  <si>
    <t>Documento justificativo de ubicación del domicilio social de la entidad a la que está asociada.</t>
  </si>
  <si>
    <t>Documentación acreditativa de pertenencia a la Organización o Entidad a la que está asociada; Estatutos o Escrituras de Constitución.</t>
  </si>
  <si>
    <t>Documentación justificativa de la participación en las acciones en cuestión.</t>
  </si>
  <si>
    <t>Memoria; Acta de no inicio; Doc. Gráfica de la ubicación; Informe justificativo de la consideración de servicio de proximidad.</t>
  </si>
  <si>
    <t>Informe justificativo del impacto en la población juvenil.</t>
  </si>
  <si>
    <t>Informe justificativo del impacto en las personas mayores.</t>
  </si>
  <si>
    <t>Informe justificativo del impacto en las personas con discapacidad.</t>
  </si>
  <si>
    <t xml:space="preserve"> Informe justificativo del impacto en las personas con riesgo de exclusión social.</t>
  </si>
  <si>
    <t>Informe justificativo del impacto en las personas pertenecientes al colectivo concreto.</t>
  </si>
  <si>
    <t>Memoria; Contabilidad Oficial de los 3 últimos ejercicios cerrados (Perdidas y Ganancias; Balance de Situación), para empresas personas físicas; Declaración de la Renta de los 3 últimos ejercicios cerrados, para empresas p.jurídicas.</t>
  </si>
  <si>
    <t>Memoria; Tabla de elementos innovadores descrita en el apartado 5.3 del epígrafe 5 de la EDL; Informe justificativo de los elementos innovadores valorados.</t>
  </si>
  <si>
    <t>Memoria; Tabla de Necesidades Prioritarias descrita en el apartado 5.1 del epígrafe 5 de la EDL; informe justificativo de las necesidades prioritarias valoradas.</t>
  </si>
  <si>
    <t>Complementarios</t>
  </si>
  <si>
    <t>Excluyente.</t>
  </si>
  <si>
    <t>Representante:</t>
  </si>
  <si>
    <t>Acta Final de Ejecución; Doc. gráfica de la inversión; Facturas,  justificantes de pago y apuntes contables.</t>
  </si>
  <si>
    <t>Convenio de Colaboración; Certificación Centro Docente acreditativo de la acogida real de estudiantes; Informe Vida Laboral de la entidad promotora (Código Cuenta Cotización).</t>
  </si>
  <si>
    <t>Plan de Igualdad.</t>
  </si>
  <si>
    <t xml:space="preserve">Certificado y/o Titulo acreditativo de realización del curso de igualdad emitido por la Institución o Entidad organizadora. </t>
  </si>
  <si>
    <t>Acta Final de Ejecución; Doc. gráfica de la inversión; Alta Censal; Licencia de Actividad; Facturas,  justificantes de pago y apuntes contables.</t>
  </si>
  <si>
    <t>Informe cuantificado sobre aumento de competitividad conseguida;</t>
  </si>
  <si>
    <t>Informe de empresa suministradora sobre adaptación a la normativa o Informe de Consultor Independiente;</t>
  </si>
  <si>
    <t>Material promocional y/o divulgativo y/o Estudios producidos con motivo del proyecto</t>
  </si>
  <si>
    <t>Certificaciones de sistemas de Calidad implantados emitidas por la entidad certificadora;</t>
  </si>
  <si>
    <t>Programa de Contenidos, Titulo, libro de firmas, material producido con motivo del proyecto.</t>
  </si>
  <si>
    <t>Informe Vida Laboral de la entidad promotora (Código Cuenta Cotización).</t>
  </si>
  <si>
    <t>Documentación acreditativa de pertenencia a la Organización o Entidad a la que está asociada.</t>
  </si>
  <si>
    <t>Acta Final de Ejecución; Doc. gráfica de la inversión</t>
  </si>
  <si>
    <t>No fomenta la igualdad H/M</t>
  </si>
  <si>
    <t>No contribuye a la lucha contra el cambio climático</t>
  </si>
  <si>
    <t>No crea empleo</t>
  </si>
  <si>
    <t>No hay innovación</t>
  </si>
  <si>
    <t xml:space="preserve">Los empleos a considerar son en términos UTA-Unidad de Trabajo Anual (considera un empleo creado si este es a tiempo completo durante todo el año). </t>
  </si>
  <si>
    <t xml:space="preserve">Para sumar puntos en los Subcriterios de este apartado B) ‘Mantenimiento de Empleo’ es obligatorio que se haya puntuado previamente en los Subcriterios del apartado A) ‘Creación de Empleo’. </t>
  </si>
  <si>
    <t xml:space="preserve">Para sumar puntos en los Subcriterios de este apartado C) ‘Otros Supuestos de Empleo’ es obligatorio que se haya puntuado previamente en los Subcriterios del apartado A) ‘Creación de Empleo’. </t>
  </si>
  <si>
    <t>Limites caracteres proyecto</t>
  </si>
  <si>
    <t>Advertencia</t>
  </si>
  <si>
    <t>Texto  muy breve</t>
  </si>
  <si>
    <t>Texto muy extenso</t>
  </si>
  <si>
    <t>Municipio no seleccionado</t>
  </si>
  <si>
    <t>Fechas Convocatoria</t>
  </si>
  <si>
    <t>Fecha fuera de convocatoria</t>
  </si>
  <si>
    <t>Tipo Promotor:</t>
  </si>
  <si>
    <t>Nº Expte.:</t>
  </si>
  <si>
    <t>Seleccione un valor</t>
  </si>
  <si>
    <t>Inversión Subvencionable</t>
  </si>
  <si>
    <t>Introduzca importe inversión</t>
  </si>
  <si>
    <t>Compruebe el importe de la inversión</t>
  </si>
  <si>
    <t>ACTIVO</t>
  </si>
  <si>
    <t>A) ACTIVO NO CORRIENTE</t>
  </si>
  <si>
    <t>I. Inmovilizado intangible</t>
  </si>
  <si>
    <t>II. Inmovilizado material.</t>
  </si>
  <si>
    <t>III. Inversiones inmobiliarias.</t>
  </si>
  <si>
    <t>IV. Inversiones en empresas del grupo y asociadas a l/p</t>
  </si>
  <si>
    <t>V. Inversiones financieras a largo plazo.</t>
  </si>
  <si>
    <t>VI. Activos por impuesto diferido.</t>
  </si>
  <si>
    <t>B) ACTIVO CORRIENTE</t>
  </si>
  <si>
    <t>I. Activos no corrientes mantenidos para la venta.</t>
  </si>
  <si>
    <t>II. Existencias.</t>
  </si>
  <si>
    <t>III. Deudores comerciales y otras cuentas a cobrar.</t>
  </si>
  <si>
    <t>IV. Inversiones en empresas del grupo y asociadas a c/p.</t>
  </si>
  <si>
    <t>V. Inversiones financieras a corto plazo.</t>
  </si>
  <si>
    <t>VI. Periodificaciones a corto plazo.</t>
  </si>
  <si>
    <t>VII. Efectivo y otros activos líquidos equivalentes.</t>
  </si>
  <si>
    <t>TOTAL ACTIVO (A + B)</t>
  </si>
  <si>
    <t>A) PATRIMONIO NETO</t>
  </si>
  <si>
    <t>I. Fondos propios.</t>
  </si>
  <si>
    <t>II. Ajustes por cambios de valor.</t>
  </si>
  <si>
    <t>III. Subvenciones, donaciones y legados recibidos.</t>
  </si>
  <si>
    <t>B) PASIVO NO CORRIENTE</t>
  </si>
  <si>
    <t>I. Provisiones a largo plazo.</t>
  </si>
  <si>
    <t>II. Deudas a largo plazo.</t>
  </si>
  <si>
    <t>III. Deudas con empresas del grupo y asociadas a largo plazo.</t>
  </si>
  <si>
    <t>IV. Pasivos por impuesto diferido.</t>
  </si>
  <si>
    <t>V.  Periodificaciones a largo plazo.</t>
  </si>
  <si>
    <t>C) PASIVO CORRIENTE</t>
  </si>
  <si>
    <t>I. Pasivos vinculados con activos no corrientes mantenidos para la venta.</t>
  </si>
  <si>
    <t>II. Provisiones a corto plazo.</t>
  </si>
  <si>
    <t>III. Deudas a corto plazo.</t>
  </si>
  <si>
    <t>IV. Deudas con empresas del grupo y asociadas a corto plazo.</t>
  </si>
  <si>
    <t>V. Acreedores comerciales y otras cuentas a pagar.</t>
  </si>
  <si>
    <t>A) Ventas Totales</t>
  </si>
  <si>
    <t>B) Coste de Ventas</t>
  </si>
  <si>
    <t>3. Consumo de mercancías. (-)</t>
  </si>
  <si>
    <t>4. Consumo de materias primas y otras materias consumibles. (-)</t>
  </si>
  <si>
    <t>5. Trabajos realizados por otras empresas. (-)</t>
  </si>
  <si>
    <t>6. Otros aprovisionamientos. (-)</t>
  </si>
  <si>
    <t>C) Resultado Bruto</t>
  </si>
  <si>
    <t>7. Gastos de personal.</t>
  </si>
  <si>
    <t>10. Amortización del inmovilizado. (-)</t>
  </si>
  <si>
    <t>11. Trabajos realizados por la empresa para su activo. (+)</t>
  </si>
  <si>
    <t>12. Deterioro y resultado por enajenaciones del inmovilizado. (-)</t>
  </si>
  <si>
    <t>13. Ingresos financieros. (+)</t>
  </si>
  <si>
    <t>14. Gastos financieros. (-)</t>
  </si>
  <si>
    <t>15. Variación de valor razonable en instrumentos financiero. (+/-)</t>
  </si>
  <si>
    <t>16. Diferencias de cambio. (+/-)</t>
  </si>
  <si>
    <t>17. Deterioro y resultado por enajenaciones de instrumentos financieros. (+/-)</t>
  </si>
  <si>
    <t>18. Resultado extraordinario.</t>
  </si>
  <si>
    <t>19. Impuestos sobre beneficios. (-)</t>
  </si>
  <si>
    <t>G) Resultado neto</t>
  </si>
  <si>
    <t>PASIVO</t>
  </si>
  <si>
    <t>TOTAL PASIVO (A + B + C)</t>
  </si>
  <si>
    <t>CUENTA DE RESULTADOS</t>
  </si>
  <si>
    <t xml:space="preserve">2. Variación de existencias de productos terminados y en curso de fabricación. </t>
  </si>
  <si>
    <t xml:space="preserve">1. Importe neto de la cifra de negocios. </t>
  </si>
  <si>
    <t>Activo</t>
  </si>
  <si>
    <t>Pasivo</t>
  </si>
  <si>
    <t>Resultados</t>
  </si>
  <si>
    <t>8. Ingresos (ordinarios) de explotación. (+)</t>
  </si>
  <si>
    <t>9. Gastos (ordinarios) de explotación. (-)</t>
  </si>
  <si>
    <t>VALDEPEÑAS DE JAÉN</t>
  </si>
  <si>
    <t>FUENSANTA DE MARTOS</t>
  </si>
  <si>
    <t xml:space="preserve">OBSERVACIONES: </t>
  </si>
  <si>
    <t>Completar balance</t>
  </si>
  <si>
    <t>Revisar Resultados</t>
  </si>
  <si>
    <t>RATIOS</t>
  </si>
  <si>
    <t>%DER</t>
  </si>
  <si>
    <t>Ratios</t>
  </si>
  <si>
    <t>2. Total Gastos</t>
  </si>
  <si>
    <t>I) Ratio de Eficacia (Ingresos/Gastos)</t>
  </si>
  <si>
    <t>II) Ratio de Liquidez (Activo Circulante / Pasivo Circulante</t>
  </si>
  <si>
    <t>III) Ratio de Endeudamiento (Deudas a LP / Capitales Propios)</t>
  </si>
  <si>
    <t>V) Ratio de Independencia Financiera (Recursos Propios/Pasivo Exigible x100)</t>
  </si>
  <si>
    <t>1. Activo Circulante</t>
  </si>
  <si>
    <t>2. Pasivo Circulante</t>
  </si>
  <si>
    <t>1. Deudas a LP</t>
  </si>
  <si>
    <t>2. Fondos Propios</t>
  </si>
  <si>
    <t>1. Resultado Antes de Impuestos</t>
  </si>
  <si>
    <t>2. Activo Total</t>
  </si>
  <si>
    <t>1. Recursos Propios</t>
  </si>
  <si>
    <t>2. Pasivo Exigible</t>
  </si>
  <si>
    <t>INVERSIONES</t>
  </si>
  <si>
    <t>A)  INVERSIONES MATERIALES</t>
  </si>
  <si>
    <t>Terrenos y bienes naturales</t>
  </si>
  <si>
    <t>Construcciones.</t>
  </si>
  <si>
    <t>Instalaciones Técnicas</t>
  </si>
  <si>
    <t>Maquinaria</t>
  </si>
  <si>
    <t>Utillaje</t>
  </si>
  <si>
    <t>Mobiliario</t>
  </si>
  <si>
    <t>Elementos para proceso de información</t>
  </si>
  <si>
    <t>Elementos de transportes</t>
  </si>
  <si>
    <t>Investigacion</t>
  </si>
  <si>
    <t>Desarrollo</t>
  </si>
  <si>
    <t>Concesiones administrativas</t>
  </si>
  <si>
    <t>Propiedad Industrial</t>
  </si>
  <si>
    <t>Derechos de traspaso</t>
  </si>
  <si>
    <t>Aplicaciones informaticas</t>
  </si>
  <si>
    <t>Suma</t>
  </si>
  <si>
    <t>Masa</t>
  </si>
  <si>
    <t>Material</t>
  </si>
  <si>
    <t>Intangible</t>
  </si>
  <si>
    <t>…</t>
  </si>
  <si>
    <t>B) INMOVILIZACIONES INMATERIALES</t>
  </si>
  <si>
    <t>TOTAL INVERSION</t>
  </si>
  <si>
    <t>TOTAL FINANCIACION</t>
  </si>
  <si>
    <t>A)  FINANCIACION PROPIA</t>
  </si>
  <si>
    <t>Capital propio</t>
  </si>
  <si>
    <t>Reservas</t>
  </si>
  <si>
    <t>Remanentes de ejercicios</t>
  </si>
  <si>
    <t>B) FINANCIACION AJENA</t>
  </si>
  <si>
    <t>Leasing</t>
  </si>
  <si>
    <t>Importe</t>
  </si>
  <si>
    <t>C) OTRAS FUENTES DE FINANCIACION</t>
  </si>
  <si>
    <t>Ayudas reintegrables</t>
  </si>
  <si>
    <t>Otras</t>
  </si>
  <si>
    <t>Mes</t>
  </si>
  <si>
    <t>Año</t>
  </si>
  <si>
    <t>Carencia</t>
  </si>
  <si>
    <t>FUENTE DE FINANCIACION DE LA INVERSION</t>
  </si>
  <si>
    <t>A)  CREACION DE EMPLEO</t>
  </si>
  <si>
    <t>Cuenta propia</t>
  </si>
  <si>
    <t>Cuenta ajena</t>
  </si>
  <si>
    <t>B) MANTENIMIENTO DE EMPLEO</t>
  </si>
  <si>
    <t>C) MEJORA DE EMPLEO</t>
  </si>
  <si>
    <t>Total</t>
  </si>
  <si>
    <t>Hombres</t>
  </si>
  <si>
    <t>Mujeres</t>
  </si>
  <si>
    <t>Personas Discapacitadas</t>
  </si>
  <si>
    <t>&gt; de 35 Años</t>
  </si>
  <si>
    <t>Residentes en la Comarca</t>
  </si>
  <si>
    <t>EMPLEOS CREADOS Y MANTENIDOS</t>
  </si>
  <si>
    <t>&lt;35 años</t>
  </si>
  <si>
    <t>Jornada Completa</t>
  </si>
  <si>
    <t>Fijos</t>
  </si>
  <si>
    <t>Eventuales</t>
  </si>
  <si>
    <t>Contratos mejorados</t>
  </si>
  <si>
    <t>D) CONSOLIDACION DE EMPLEO</t>
  </si>
  <si>
    <t>Contratos consolidados</t>
  </si>
  <si>
    <t>Empleo</t>
  </si>
  <si>
    <t>Cada unidad por tanto es un trabajador, a jornada completa trabajando durante todo el año.</t>
  </si>
  <si>
    <t>Para trabajadores con contratos a tiempo parcial o eventuales, se ha de tener en cuenta el numero de horas de la jornada laboral y el numero de días o meses trabajados durante el año.</t>
  </si>
  <si>
    <t>Nueva Empresa (Balances previsionales)</t>
  </si>
  <si>
    <r>
      <t xml:space="preserve">Media </t>
    </r>
    <r>
      <rPr>
        <b/>
        <sz val="8"/>
        <color theme="0"/>
        <rFont val="Calibri"/>
        <family val="2"/>
        <scheme val="minor"/>
      </rPr>
      <t>3 años</t>
    </r>
  </si>
  <si>
    <r>
      <t>Se incluye a continuación, las Tablas de</t>
    </r>
    <r>
      <rPr>
        <sz val="11"/>
        <color rgb="FF000000"/>
        <rFont val="Calibri"/>
        <family val="2"/>
        <scheme val="minor"/>
      </rPr>
      <t xml:space="preserve"> Elementos Innovadores descritos en el apartado 5.3.3 del epígrafe 5 de la EDL Sierra Sur de Jaén.</t>
    </r>
  </si>
  <si>
    <r>
      <t xml:space="preserve">ELEMENTO INNOVADOR QUE INCORPORA EL PROYECTO </t>
    </r>
    <r>
      <rPr>
        <b/>
        <u/>
        <sz val="11"/>
        <color theme="1"/>
        <rFont val="Calibri"/>
        <family val="2"/>
        <scheme val="minor"/>
      </rPr>
      <t>PRODUCTIVO</t>
    </r>
  </si>
  <si>
    <r>
      <t>Se incluye a continuación, la Batería de 80 Necesidades Priorizadas expuestas</t>
    </r>
    <r>
      <rPr>
        <sz val="10"/>
        <color rgb="FF000000"/>
        <rFont val="Calibri"/>
        <family val="2"/>
        <scheme val="minor"/>
      </rPr>
      <t xml:space="preserve"> en el apartado 5.1.3 del epígrafe 5 de la EDL Sierra Sur de Jaén.</t>
    </r>
  </si>
  <si>
    <t>Efectos comerciales a pagar a Largo/Plazo</t>
  </si>
  <si>
    <t xml:space="preserve"> Certificado de la empresa suministradora justificativo del ahorro de agua o Certificado de Institución de Certific. Oficial o Informe de Consultor Independiente que acredite.</t>
  </si>
  <si>
    <t xml:space="preserve"> Certificado de la empresa suministradora justificativo del ahorro de energía o Certificado de Institución de Certific. Oficial o Informe de Consultor Independiente que acredite.</t>
  </si>
  <si>
    <t xml:space="preserve">Declaración Expresa Responsable de No Inicio para  inversiones en activos no duraderos (promoción, estudios, investigación etc.) </t>
  </si>
  <si>
    <t xml:space="preserve">Declaración Expresa Responsable de No Inicio de la actuación no duradera (curso, jornada, promoción, estudio, investigación, etc.). </t>
  </si>
  <si>
    <t>Certificado de la empresa suministradora justificativo del consumo de energía renovable o Certificado de Institución de Certific. Oficial o Informe de Consultor Independiente que acredite.</t>
  </si>
  <si>
    <t>Certificado de la empresa suministradora justificativo de la contribución al reciclaje o Certificado de Institución de Certific. Oficial o Informe de Consultor Independiente que acredite.</t>
  </si>
  <si>
    <t xml:space="preserve">Certificado de la empresa suministradora justificativo del ahorro de agua o Certificado de Institución de Certific. Oficial o Informe de Consultor Independiente que acredite; </t>
  </si>
  <si>
    <t xml:space="preserve">Certificado de la empresa suministradora justificativo del ahorro energético o Certificado de Institución de Certific. Oficial o Informe de Consultor Independiente que acredite; </t>
  </si>
  <si>
    <t>Material promocional, divulgativo y/o de investigación producido con motivo del proyecto;</t>
  </si>
  <si>
    <t>Certificado de la empresa suministradora justificativo del consumo de energía renovable o Certificado de Institución de Certific. Oficial o Informe de Consultor Independiente que acredite;</t>
  </si>
  <si>
    <t>Certificado de la empresa suministradora justificativo de la contribución al reciclaje o reutilización o Certificado de Institución de Certific. Oficial o Informe de Consultor Independiente que acredite;</t>
  </si>
  <si>
    <t>Renting/Factoring</t>
  </si>
  <si>
    <t>F) Beneficio antes de impuestos</t>
  </si>
  <si>
    <t>Empresa Existente (Balances reales y previstos)</t>
  </si>
  <si>
    <t>Revise datos ejercicio</t>
  </si>
  <si>
    <t>Revise datos previstos</t>
  </si>
  <si>
    <t>Puntuación criterios:</t>
  </si>
  <si>
    <t>Línea Ayuda:</t>
  </si>
  <si>
    <t>Tramites en Solicitud de Ayuda. Documentación Justificativa a aportar en Tramite de Audiencia</t>
  </si>
  <si>
    <t>Tramites y Documentación a aportar en Solicitud Pago</t>
  </si>
  <si>
    <t>Observación</t>
  </si>
  <si>
    <t>Cada elemento indicado deberá ser justificado en la memoria que acompaña a la solicitud. (Indicar "Si"  mínimo 1 vez)</t>
  </si>
  <si>
    <t>Declaración Expresa Responsable de No Inicio de la acción formativa (curso, jornada, taller, etc.)</t>
  </si>
  <si>
    <t xml:space="preserve">Acta de visita durante la celebración de la acción formativa; Memoria, Programa de Contenidos, Titulo, Certificado, Libro de Firmas, Material editado con motivo del curso; </t>
  </si>
  <si>
    <t>En este caso se asigna la máxima puntuación.</t>
  </si>
  <si>
    <t>Documentación justificativa de la participación en  las acciones en cuestión.</t>
  </si>
  <si>
    <t>Innovación</t>
  </si>
  <si>
    <t>Cada elemento innovador indicado ha de ser justificado en la memoria que acompaña a la solicitud. (Indicar "Si"  mínimo 1 vez)</t>
  </si>
  <si>
    <t>Cada necesidad indicado ha de ser justificada en la memoria que acompaña a la solicitud.  (Indicar "Si"  mínimo 1 vez)</t>
  </si>
  <si>
    <t>D) Beneficio Explotación Antes de Intereses e Impuestos</t>
  </si>
  <si>
    <t>E) Beneficio Antes de  Intereses e Impuestos</t>
  </si>
  <si>
    <t>20. Deducciones Fiscales. (+)</t>
  </si>
  <si>
    <t>1.Total Ingresos</t>
  </si>
  <si>
    <t>IV) Ratio de Rentabilidad económica (Resultado AI / Activo Total x100)</t>
  </si>
  <si>
    <t>inversión</t>
  </si>
  <si>
    <t>Financiación</t>
  </si>
  <si>
    <t>Prestamos y créditos a largo plazo</t>
  </si>
  <si>
    <t>Prestamos y créditos a corto plazo</t>
  </si>
  <si>
    <t>Prestamos familiares</t>
  </si>
  <si>
    <t>Tasa Interés</t>
  </si>
  <si>
    <t>Periodo Amortización</t>
  </si>
  <si>
    <t>Emisión de acciones</t>
  </si>
  <si>
    <t>La Inversión y Financiación no coinciden</t>
  </si>
  <si>
    <t>% Ayuda Máxima</t>
  </si>
  <si>
    <t>Línea 1</t>
  </si>
  <si>
    <t>Línea 2</t>
  </si>
  <si>
    <t>Línea 3</t>
  </si>
  <si>
    <t>Línea 4</t>
  </si>
  <si>
    <t>Línea 5</t>
  </si>
  <si>
    <t>Periodos amortización</t>
  </si>
  <si>
    <t>No cumple Ratio 90.000€  Inversión/UTA</t>
  </si>
  <si>
    <t>Seleccione la línea de ayuda</t>
  </si>
  <si>
    <t>El tipo de promotor no esta incluido en esta línea de ayuda</t>
  </si>
  <si>
    <t>En Riesgo de Exclusión</t>
  </si>
  <si>
    <t>Los cálculos que figuran en esta hoja están sujetos a revisión por el GDR para comprobar su veracidad, posibles modificaciones y/o errores.</t>
  </si>
  <si>
    <t>IVA SUBVENCIONABLE</t>
  </si>
  <si>
    <t>Actuacion</t>
  </si>
  <si>
    <t>Partida</t>
  </si>
  <si>
    <t>Moderación Costes</t>
  </si>
  <si>
    <t>Unidades</t>
  </si>
  <si>
    <t>Coste Unitario</t>
  </si>
  <si>
    <t>Base Imponible</t>
  </si>
  <si>
    <t>% IVA</t>
  </si>
  <si>
    <t>Importe IVA</t>
  </si>
  <si>
    <t xml:space="preserve">TOTAL </t>
  </si>
  <si>
    <t>Importe Subvencionable</t>
  </si>
  <si>
    <t>A)  GASTOS SUBVENCIONABLES</t>
  </si>
  <si>
    <t>Otros …</t>
  </si>
  <si>
    <t>B) GASTOS PROPIOS SUBVENCIONABLES</t>
  </si>
  <si>
    <t>C) GASTOS NO SUBVENCIONABLES</t>
  </si>
  <si>
    <t>3 Ofertas/Presupuestos</t>
  </si>
  <si>
    <t>Seleccione Partida</t>
  </si>
  <si>
    <t>Tarifas Oficiales</t>
  </si>
  <si>
    <t>Seleccione tipo de Moderación</t>
  </si>
  <si>
    <t>Otras bases de datos</t>
  </si>
  <si>
    <t>Bienes y Equipos 2º Mano</t>
  </si>
  <si>
    <t>Sueldos y Salarios</t>
  </si>
  <si>
    <t>Informe Justificativo</t>
  </si>
  <si>
    <t>La Inversion y Financiación no coinciden</t>
  </si>
  <si>
    <t>COMPROBACION CON PRESUPUESTO</t>
  </si>
  <si>
    <t>Otras 1 (Indicar)</t>
  </si>
  <si>
    <t>Otras 2 (Indicar)</t>
  </si>
  <si>
    <t>Otras 3 (Indicar)</t>
  </si>
  <si>
    <t>Otras I. 1 (Indicar)</t>
  </si>
  <si>
    <t>Otras I. 2 (Indicar)</t>
  </si>
  <si>
    <t>Otras I. 3 (Indicar)</t>
  </si>
  <si>
    <t>Presupuesto</t>
  </si>
  <si>
    <t>GNoSubv</t>
  </si>
  <si>
    <t>Gsubv</t>
  </si>
  <si>
    <t>Gprop</t>
  </si>
  <si>
    <t>Introduzca unidades</t>
  </si>
  <si>
    <t>Introduzca coste unitario</t>
  </si>
  <si>
    <t>1-La puntuación autobaremada es provisional y en su caso puede ser objeto de revision "a la baja" por el GDR tras las verificaciones oportunas.</t>
  </si>
  <si>
    <t>2-La justificación y argumentacion sobre el cumplimiento de los Criterios Autopuntuados se deben desarrollar en el apartado correspondiente de la Memoria Descriptiva.</t>
  </si>
  <si>
    <t>3-Es muy importante que cumplimente correctamente este apartado, ya que los criterios que no se marquen en el momento de presentación de la Solicitud de Ayuda no podrán ser tenidos en cuenta para la valoración del proyecto.</t>
  </si>
  <si>
    <t>Introduzca % IVA</t>
  </si>
  <si>
    <t>FALSO</t>
  </si>
  <si>
    <t>VERDADERO</t>
  </si>
  <si>
    <t>Otra Propia (1) Indicar</t>
  </si>
  <si>
    <t>Otra Propia (2) Indicar</t>
  </si>
  <si>
    <t>Otra Ajena (1) Indicar</t>
  </si>
  <si>
    <t>Otra Ajena (2) Indicar</t>
  </si>
  <si>
    <t>Otra Ajena (3) Indicar</t>
  </si>
  <si>
    <t>Otras …(1) Indicar</t>
  </si>
  <si>
    <t>Otras …(2) Indicar</t>
  </si>
  <si>
    <t>Otras …(3) Indicar</t>
  </si>
  <si>
    <t>Subvencion solicitada</t>
  </si>
  <si>
    <t>Otras Subvenciones</t>
  </si>
  <si>
    <t>Subvencion (3)</t>
  </si>
  <si>
    <t>A) RATIOS A VALORAR EN TODAS LA SOLICITUDES PROMOVIDAS POR EMPRESAS "PERSONAS FISICAS". Para nuevas personas autonomas se obtendrán de los Datos Previsionales aportados.</t>
  </si>
  <si>
    <t>C) RATIOS A VALORAR EN TODAS LA SOLICITUDES PROMOVIDAS POR EMPRESAS "PERSONAS JURIDICAS" NUEVA CREACIÓN (Datos de Balances Previsionales)</t>
  </si>
  <si>
    <t>BALANCES Y CUENTAS DE RESULTADOS "PREVISIONES"</t>
  </si>
  <si>
    <t>BALANCES Y CUENTAS DE RESULTADOS "REALES"</t>
  </si>
  <si>
    <t>Tiempo parcial: Convertir nº horas en UTA</t>
  </si>
  <si>
    <t>C) OTROS SUPUESTOS DE EMPLEO</t>
  </si>
  <si>
    <t>Solicitante:</t>
  </si>
  <si>
    <r>
      <t xml:space="preserve">DATOS EMPLEO PROYECTOS PRODUCTIVOS </t>
    </r>
    <r>
      <rPr>
        <sz val="18"/>
        <color theme="0"/>
        <rFont val="Calibri"/>
        <family val="2"/>
        <scheme val="minor"/>
      </rPr>
      <t>EDL</t>
    </r>
    <r>
      <rPr>
        <b/>
        <sz val="20"/>
        <color theme="0"/>
        <rFont val="Calibri"/>
        <family val="2"/>
        <scheme val="minor"/>
      </rPr>
      <t xml:space="preserve"> </t>
    </r>
  </si>
  <si>
    <r>
      <t xml:space="preserve">PLAN FINANCIACION PROYECTOS PRODUCTIVOS </t>
    </r>
    <r>
      <rPr>
        <sz val="18"/>
        <color theme="0"/>
        <rFont val="Calibri"/>
        <family val="2"/>
        <scheme val="minor"/>
      </rPr>
      <t>EDL</t>
    </r>
    <r>
      <rPr>
        <b/>
        <sz val="20"/>
        <color theme="0"/>
        <rFont val="Calibri"/>
        <family val="2"/>
        <scheme val="minor"/>
      </rPr>
      <t xml:space="preserve">  </t>
    </r>
  </si>
  <si>
    <r>
      <t xml:space="preserve">PLAN INVERSION ANUALIZADO PROYECTOS PRODUCTIVOS </t>
    </r>
    <r>
      <rPr>
        <sz val="18"/>
        <color theme="0"/>
        <rFont val="Calibri"/>
        <family val="2"/>
        <scheme val="minor"/>
      </rPr>
      <t>EDL</t>
    </r>
    <r>
      <rPr>
        <b/>
        <sz val="20"/>
        <color theme="0"/>
        <rFont val="Calibri"/>
        <family val="2"/>
        <scheme val="minor"/>
      </rPr>
      <t/>
    </r>
  </si>
  <si>
    <r>
      <t xml:space="preserve">CUADRO PRESUPUESTARIO PROYECTOS PRODUCTIVOS </t>
    </r>
    <r>
      <rPr>
        <sz val="18"/>
        <color theme="0"/>
        <rFont val="Calibri"/>
        <family val="2"/>
        <scheme val="minor"/>
      </rPr>
      <t>EDL</t>
    </r>
    <r>
      <rPr>
        <b/>
        <sz val="20"/>
        <color theme="0"/>
        <rFont val="Calibri"/>
        <family val="2"/>
        <scheme val="minor"/>
      </rPr>
      <t xml:space="preserve"> </t>
    </r>
  </si>
  <si>
    <r>
      <t xml:space="preserve">BALANCE Y CUENTA RESULTADOS PRODUCTIVOS </t>
    </r>
    <r>
      <rPr>
        <sz val="18"/>
        <color theme="0"/>
        <rFont val="Calibri"/>
        <family val="2"/>
        <scheme val="minor"/>
      </rPr>
      <t>EDL</t>
    </r>
    <r>
      <rPr>
        <b/>
        <sz val="20"/>
        <color theme="0"/>
        <rFont val="Calibri"/>
        <family val="2"/>
        <scheme val="minor"/>
      </rPr>
      <t/>
    </r>
  </si>
  <si>
    <r>
      <t xml:space="preserve">AUTOBAREMACION PROYECTOS PRODUCTIVOS </t>
    </r>
    <r>
      <rPr>
        <sz val="18"/>
        <color theme="0"/>
        <rFont val="Calibri"/>
        <family val="2"/>
        <scheme val="minor"/>
      </rPr>
      <t>EDL</t>
    </r>
    <r>
      <rPr>
        <b/>
        <sz val="20"/>
        <color theme="0"/>
        <rFont val="Calibri"/>
        <family val="2"/>
        <scheme val="minor"/>
      </rPr>
      <t/>
    </r>
  </si>
  <si>
    <t xml:space="preserve">  GDR-JA-07 V.1.2 Diciembre 2017</t>
  </si>
  <si>
    <t>Excluyente (CS6.2 a CS6.5) / Complementario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</si>
</sst>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 _€_-;\-* #,##0.00\ _€_-;_-* &quot;-&quot;??\ _€_-;_-@_-"/>
    <numFmt numFmtId="164" formatCode="_-* #,##0\ _€_-;\-* #,##0\ _€_-;_-* &quot;-&quot;??\ _€_-;_-@_-"/>
    <numFmt numFmtId="165" formatCode="#,##0.00\ &quot;€&quot;"/>
    <numFmt numFmtId="166" formatCode="[$-F800]dddd\,\ mmmm\ dd\,\ yyyy"/>
    <numFmt numFmtId="167" formatCode="0_ ;\-0\ "/>
  </numFmts>
  <fonts count="82" x14ac:knownFonts="1">
    <font>
      <sz val="11"/>
      <color theme="1"/>
      <name val="Calibri"/>
      <family val="2"/>
      <scheme val="minor"/>
    </font>
    <font>
      <sz val="11"/>
      <color theme="1"/>
      <name val="Calibri"/>
      <family val="2"/>
      <scheme val="minor"/>
    </font>
    <font>
      <sz val="10"/>
      <name val="MS Sans Serif"/>
      <family val="2"/>
    </font>
    <font>
      <sz val="10"/>
      <name val="Arial"/>
      <family val="2"/>
    </font>
    <font>
      <b/>
      <sz val="10"/>
      <color theme="1"/>
      <name val="NewsGotT"/>
    </font>
    <font>
      <sz val="8"/>
      <color theme="1"/>
      <name val="Calibri"/>
      <family val="2"/>
      <scheme val="minor"/>
    </font>
    <font>
      <sz val="10"/>
      <color theme="1"/>
      <name val="Calibri"/>
      <family val="2"/>
      <scheme val="minor"/>
    </font>
    <font>
      <b/>
      <sz val="10"/>
      <color theme="1"/>
      <name val="Calibri"/>
      <family val="2"/>
      <scheme val="minor"/>
    </font>
    <font>
      <sz val="10"/>
      <color rgb="FF252525"/>
      <name val="NewsGotT"/>
    </font>
    <font>
      <sz val="9"/>
      <color indexed="81"/>
      <name val="Tahoma"/>
      <family val="2"/>
    </font>
    <font>
      <b/>
      <sz val="11"/>
      <color theme="0"/>
      <name val="Calibri"/>
      <family val="2"/>
      <scheme val="minor"/>
    </font>
    <font>
      <sz val="11"/>
      <color rgb="FFFF0000"/>
      <name val="Calibri"/>
      <family val="2"/>
      <scheme val="minor"/>
    </font>
    <font>
      <b/>
      <sz val="11"/>
      <color theme="1"/>
      <name val="Calibri"/>
      <family val="2"/>
      <scheme val="minor"/>
    </font>
    <font>
      <sz val="8"/>
      <color rgb="FFFF0000"/>
      <name val="Calibri"/>
      <family val="2"/>
      <scheme val="minor"/>
    </font>
    <font>
      <b/>
      <sz val="18"/>
      <color theme="0"/>
      <name val="Calibri"/>
      <family val="2"/>
      <scheme val="minor"/>
    </font>
    <font>
      <sz val="18"/>
      <color theme="0"/>
      <name val="Calibri"/>
      <family val="2"/>
      <scheme val="minor"/>
    </font>
    <font>
      <b/>
      <sz val="20"/>
      <color theme="0"/>
      <name val="Calibri"/>
      <family val="2"/>
      <scheme val="minor"/>
    </font>
    <font>
      <sz val="8"/>
      <color theme="0"/>
      <name val="Calibri"/>
      <family val="2"/>
      <scheme val="minor"/>
    </font>
    <font>
      <b/>
      <sz val="10"/>
      <name val="Calibri"/>
      <family val="2"/>
      <scheme val="minor"/>
    </font>
    <font>
      <sz val="10"/>
      <color theme="0"/>
      <name val="Calibri"/>
      <family val="2"/>
      <scheme val="minor"/>
    </font>
    <font>
      <i/>
      <sz val="8"/>
      <name val="Calibri"/>
      <family val="2"/>
      <scheme val="minor"/>
    </font>
    <font>
      <sz val="9"/>
      <color rgb="FFFFFF00"/>
      <name val="Calibri"/>
      <family val="2"/>
      <scheme val="minor"/>
    </font>
    <font>
      <sz val="10"/>
      <color rgb="FFFFFF00"/>
      <name val="Calibri"/>
      <family val="2"/>
      <scheme val="minor"/>
    </font>
    <font>
      <sz val="11"/>
      <color rgb="FFFFFF00"/>
      <name val="Calibri"/>
      <family val="2"/>
      <scheme val="minor"/>
    </font>
    <font>
      <sz val="10"/>
      <color rgb="FF000000"/>
      <name val="Calibri"/>
      <family val="2"/>
      <scheme val="minor"/>
    </font>
    <font>
      <sz val="8"/>
      <color rgb="FF000000"/>
      <name val="Calibri"/>
      <family val="2"/>
      <scheme val="minor"/>
    </font>
    <font>
      <b/>
      <sz val="12"/>
      <color theme="0"/>
      <name val="Calibri"/>
      <family val="2"/>
      <scheme val="minor"/>
    </font>
    <font>
      <b/>
      <sz val="8"/>
      <color theme="0"/>
      <name val="Calibri"/>
      <family val="2"/>
      <scheme val="minor"/>
    </font>
    <font>
      <b/>
      <i/>
      <sz val="8"/>
      <color theme="0"/>
      <name val="Calibri"/>
      <family val="2"/>
      <scheme val="minor"/>
    </font>
    <font>
      <b/>
      <sz val="10"/>
      <color theme="0"/>
      <name val="Calibri"/>
      <family val="2"/>
      <scheme val="minor"/>
    </font>
    <font>
      <b/>
      <sz val="10"/>
      <color rgb="FF00B050"/>
      <name val="Calibri"/>
      <family val="2"/>
      <scheme val="minor"/>
    </font>
    <font>
      <sz val="10"/>
      <color rgb="FFFF0000"/>
      <name val="Calibri"/>
      <family val="2"/>
      <scheme val="minor"/>
    </font>
    <font>
      <sz val="10"/>
      <name val="Calibri"/>
      <family val="2"/>
      <scheme val="minor"/>
    </font>
    <font>
      <sz val="9"/>
      <color theme="1"/>
      <name val="Calibri"/>
      <family val="2"/>
      <scheme val="minor"/>
    </font>
    <font>
      <i/>
      <sz val="8"/>
      <color theme="1"/>
      <name val="Calibri"/>
      <family val="2"/>
      <scheme val="minor"/>
    </font>
    <font>
      <sz val="10"/>
      <color theme="0" tint="-0.499984740745262"/>
      <name val="Calibri"/>
      <family val="2"/>
      <scheme val="minor"/>
    </font>
    <font>
      <b/>
      <i/>
      <sz val="8"/>
      <color theme="1"/>
      <name val="Calibri"/>
      <family val="2"/>
      <scheme val="minor"/>
    </font>
    <font>
      <sz val="9"/>
      <color theme="0"/>
      <name val="Calibri"/>
      <family val="2"/>
      <scheme val="minor"/>
    </font>
    <font>
      <b/>
      <i/>
      <sz val="9"/>
      <color theme="1"/>
      <name val="Calibri"/>
      <family val="2"/>
      <scheme val="minor"/>
    </font>
    <font>
      <i/>
      <sz val="9"/>
      <name val="Calibri"/>
      <family val="2"/>
      <scheme val="minor"/>
    </font>
    <font>
      <sz val="8"/>
      <color rgb="FFFFFF00"/>
      <name val="Calibri"/>
      <family val="2"/>
      <scheme val="minor"/>
    </font>
    <font>
      <sz val="8"/>
      <name val="Calibri"/>
      <family val="2"/>
      <scheme val="minor"/>
    </font>
    <font>
      <i/>
      <sz val="11"/>
      <color theme="1"/>
      <name val="Calibri"/>
      <family val="2"/>
      <scheme val="minor"/>
    </font>
    <font>
      <sz val="11"/>
      <name val="Calibri"/>
      <family val="2"/>
      <scheme val="minor"/>
    </font>
    <font>
      <b/>
      <sz val="9"/>
      <name val="Calibri"/>
      <family val="2"/>
      <scheme val="minor"/>
    </font>
    <font>
      <b/>
      <sz val="8"/>
      <name val="Calibri"/>
      <family val="2"/>
      <scheme val="minor"/>
    </font>
    <font>
      <b/>
      <sz val="11"/>
      <name val="Calibri"/>
      <family val="2"/>
      <scheme val="minor"/>
    </font>
    <font>
      <b/>
      <sz val="16"/>
      <name val="Calibri"/>
      <family val="2"/>
      <scheme val="minor"/>
    </font>
    <font>
      <b/>
      <sz val="10"/>
      <color theme="3"/>
      <name val="Calibri"/>
      <family val="2"/>
      <scheme val="minor"/>
    </font>
    <font>
      <sz val="8"/>
      <color theme="1" tint="4.9989318521683403E-2"/>
      <name val="Calibri"/>
      <family val="2"/>
      <scheme val="minor"/>
    </font>
    <font>
      <b/>
      <sz val="12"/>
      <name val="Calibri"/>
      <family val="2"/>
      <scheme val="minor"/>
    </font>
    <font>
      <b/>
      <sz val="9"/>
      <color theme="0"/>
      <name val="Calibri"/>
      <family val="2"/>
      <scheme val="minor"/>
    </font>
    <font>
      <b/>
      <sz val="12"/>
      <color theme="1"/>
      <name val="Calibri"/>
      <family val="2"/>
      <scheme val="minor"/>
    </font>
    <font>
      <sz val="11"/>
      <color rgb="FF00B050"/>
      <name val="Calibri"/>
      <family val="2"/>
      <scheme val="minor"/>
    </font>
    <font>
      <b/>
      <sz val="11"/>
      <color rgb="FF00B050"/>
      <name val="Calibri"/>
      <family val="2"/>
      <scheme val="minor"/>
    </font>
    <font>
      <sz val="11"/>
      <color theme="6" tint="0.59999389629810485"/>
      <name val="Calibri"/>
      <family val="2"/>
      <scheme val="minor"/>
    </font>
    <font>
      <sz val="11"/>
      <color theme="6" tint="0.79998168889431442"/>
      <name val="Calibri"/>
      <family val="2"/>
      <scheme val="minor"/>
    </font>
    <font>
      <b/>
      <sz val="9"/>
      <color theme="6" tint="0.39997558519241921"/>
      <name val="Calibri"/>
      <family val="2"/>
      <scheme val="minor"/>
    </font>
    <font>
      <b/>
      <sz val="9"/>
      <color rgb="FF00B050"/>
      <name val="Calibri"/>
      <family val="2"/>
      <scheme val="minor"/>
    </font>
    <font>
      <b/>
      <sz val="8"/>
      <color theme="1"/>
      <name val="Calibri"/>
      <family val="2"/>
      <scheme val="minor"/>
    </font>
    <font>
      <b/>
      <sz val="14"/>
      <color theme="1"/>
      <name val="Calibri"/>
      <family val="2"/>
      <scheme val="minor"/>
    </font>
    <font>
      <sz val="11"/>
      <color rgb="FF000000"/>
      <name val="Calibri"/>
      <family val="2"/>
      <scheme val="minor"/>
    </font>
    <font>
      <b/>
      <u/>
      <sz val="11"/>
      <color theme="1"/>
      <name val="Calibri"/>
      <family val="2"/>
      <scheme val="minor"/>
    </font>
    <font>
      <sz val="11"/>
      <color theme="0" tint="-0.499984740745262"/>
      <name val="Calibri"/>
      <family val="2"/>
      <scheme val="minor"/>
    </font>
    <font>
      <b/>
      <sz val="10"/>
      <color rgb="FF0070C0"/>
      <name val="Calibri"/>
      <family val="2"/>
      <scheme val="minor"/>
    </font>
    <font>
      <b/>
      <sz val="11"/>
      <color rgb="FFC00000"/>
      <name val="Calibri"/>
      <family val="2"/>
      <scheme val="minor"/>
    </font>
    <font>
      <sz val="6"/>
      <color rgb="FFFF0000"/>
      <name val="Calibri"/>
      <family val="2"/>
      <scheme val="minor"/>
    </font>
    <font>
      <sz val="6"/>
      <color theme="0"/>
      <name val="Calibri"/>
      <family val="2"/>
      <scheme val="minor"/>
    </font>
    <font>
      <b/>
      <sz val="6"/>
      <color rgb="FFFF0000"/>
      <name val="Calibri"/>
      <family val="2"/>
      <scheme val="minor"/>
    </font>
    <font>
      <b/>
      <sz val="10"/>
      <color rgb="FF7030A0"/>
      <name val="Calibri"/>
      <family val="2"/>
      <scheme val="minor"/>
    </font>
    <font>
      <b/>
      <sz val="11"/>
      <color rgb="FF7030A0"/>
      <name val="Calibri"/>
      <family val="2"/>
      <scheme val="minor"/>
    </font>
    <font>
      <b/>
      <i/>
      <sz val="8"/>
      <name val="Calibri"/>
      <family val="2"/>
      <scheme val="minor"/>
    </font>
    <font>
      <sz val="10"/>
      <color rgb="FF00B050"/>
      <name val="Calibri"/>
      <family val="2"/>
      <scheme val="minor"/>
    </font>
    <font>
      <b/>
      <i/>
      <sz val="10"/>
      <color rgb="FF00B050"/>
      <name val="Calibri"/>
      <family val="2"/>
      <scheme val="minor"/>
    </font>
    <font>
      <b/>
      <i/>
      <sz val="11"/>
      <color theme="0"/>
      <name val="Calibri"/>
      <family val="2"/>
      <scheme val="minor"/>
    </font>
    <font>
      <sz val="9"/>
      <name val="Calibri"/>
      <family val="2"/>
      <scheme val="minor"/>
    </font>
    <font>
      <sz val="14"/>
      <color theme="1"/>
      <name val="Calibri"/>
      <family val="2"/>
      <scheme val="minor"/>
    </font>
    <font>
      <sz val="9"/>
      <color rgb="FFFF0000"/>
      <name val="Calibri"/>
      <family val="2"/>
      <scheme val="minor"/>
    </font>
    <font>
      <b/>
      <i/>
      <sz val="9"/>
      <color theme="0"/>
      <name val="Calibri"/>
      <family val="2"/>
      <scheme val="minor"/>
    </font>
    <font>
      <b/>
      <sz val="16"/>
      <color theme="0"/>
      <name val="Calibri"/>
      <family val="2"/>
      <scheme val="minor"/>
    </font>
    <font>
      <b/>
      <sz val="14"/>
      <color theme="0"/>
      <name val="Calibri"/>
      <family val="2"/>
      <scheme val="minor"/>
    </font>
    <font>
      <b/>
      <sz val="16"/>
      <color rgb="FF00B050"/>
      <name val="Calibri"/>
      <family val="2"/>
      <scheme val="minor"/>
    </font>
  </fonts>
  <fills count="17">
    <fill>
      <patternFill patternType="none"/>
    </fill>
    <fill>
      <patternFill patternType="gray125"/>
    </fill>
    <fill>
      <patternFill patternType="solid">
        <fgColor theme="6" tint="0.59999389629810485"/>
        <bgColor indexed="64"/>
      </patternFill>
    </fill>
    <fill>
      <patternFill patternType="solid">
        <fgColor rgb="FF92D050"/>
        <bgColor indexed="64"/>
      </patternFill>
    </fill>
    <fill>
      <patternFill patternType="solid">
        <fgColor theme="6"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rgb="FFFFFF66"/>
        <bgColor indexed="64"/>
      </patternFill>
    </fill>
    <fill>
      <patternFill patternType="solid">
        <fgColor theme="6" tint="-0.499984740745262"/>
        <bgColor indexed="64"/>
      </patternFill>
    </fill>
    <fill>
      <patternFill patternType="solid">
        <fgColor rgb="FF00B05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3" tint="0.59999389629810485"/>
        <bgColor indexed="64"/>
      </patternFill>
    </fill>
  </fills>
  <borders count="65">
    <border>
      <left/>
      <right/>
      <top/>
      <bottom/>
      <diagonal/>
    </border>
    <border>
      <left style="thin">
        <color theme="0"/>
      </left>
      <right style="thin">
        <color theme="0"/>
      </right>
      <top style="thin">
        <color theme="0"/>
      </top>
      <bottom style="thin">
        <color theme="0"/>
      </bottom>
      <diagonal/>
    </border>
    <border>
      <left style="thin">
        <color theme="0"/>
      </left>
      <right style="medium">
        <color theme="0"/>
      </right>
      <top style="thin">
        <color theme="0"/>
      </top>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right style="medium">
        <color theme="0"/>
      </right>
      <top style="medium">
        <color theme="0"/>
      </top>
      <bottom style="medium">
        <color theme="0"/>
      </bottom>
      <diagonal/>
    </border>
    <border>
      <left style="thin">
        <color theme="0"/>
      </left>
      <right/>
      <top style="thin">
        <color theme="0"/>
      </top>
      <bottom/>
      <diagonal/>
    </border>
    <border>
      <left/>
      <right style="medium">
        <color theme="0"/>
      </right>
      <top style="thin">
        <color theme="0"/>
      </top>
      <bottom/>
      <diagonal/>
    </border>
    <border>
      <left/>
      <right/>
      <top style="medium">
        <color theme="0"/>
      </top>
      <bottom style="medium">
        <color theme="0"/>
      </bottom>
      <diagonal/>
    </border>
    <border>
      <left/>
      <right style="medium">
        <color theme="0"/>
      </right>
      <top/>
      <bottom/>
      <diagonal/>
    </border>
    <border>
      <left style="medium">
        <color theme="0"/>
      </left>
      <right/>
      <top style="medium">
        <color theme="0"/>
      </top>
      <bottom style="medium">
        <color theme="0"/>
      </bottom>
      <diagonal/>
    </border>
    <border>
      <left style="thick">
        <color rgb="FF00B050"/>
      </left>
      <right style="thick">
        <color rgb="FF00B050"/>
      </right>
      <top style="thick">
        <color rgb="FF00B050"/>
      </top>
      <bottom style="thick">
        <color rgb="FF00B050"/>
      </bottom>
      <diagonal/>
    </border>
    <border>
      <left style="thick">
        <color rgb="FF00B050"/>
      </left>
      <right style="thick">
        <color rgb="FF00B050"/>
      </right>
      <top/>
      <bottom style="thick">
        <color rgb="FF00B050"/>
      </bottom>
      <diagonal/>
    </border>
    <border>
      <left style="thick">
        <color rgb="FF00B050"/>
      </left>
      <right/>
      <top style="thick">
        <color rgb="FF00B050"/>
      </top>
      <bottom style="thick">
        <color rgb="FF00B050"/>
      </bottom>
      <diagonal/>
    </border>
    <border>
      <left/>
      <right/>
      <top style="thick">
        <color rgb="FF00B050"/>
      </top>
      <bottom style="thick">
        <color rgb="FF00B050"/>
      </bottom>
      <diagonal/>
    </border>
    <border>
      <left/>
      <right style="thick">
        <color rgb="FF00B050"/>
      </right>
      <top style="thick">
        <color rgb="FF00B050"/>
      </top>
      <bottom style="thick">
        <color rgb="FF00B05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theme="6" tint="-0.24994659260841701"/>
      </left>
      <right style="medium">
        <color theme="6" tint="-0.24994659260841701"/>
      </right>
      <top style="medium">
        <color theme="6" tint="-0.24994659260841701"/>
      </top>
      <bottom style="medium">
        <color theme="6" tint="-0.24994659260841701"/>
      </bottom>
      <diagonal/>
    </border>
    <border>
      <left/>
      <right/>
      <top style="medium">
        <color theme="0"/>
      </top>
      <bottom/>
      <diagonal/>
    </border>
    <border>
      <left style="medium">
        <color theme="6" tint="0.59996337778862885"/>
      </left>
      <right style="medium">
        <color theme="6" tint="0.59996337778862885"/>
      </right>
      <top style="medium">
        <color theme="6" tint="0.59996337778862885"/>
      </top>
      <bottom style="medium">
        <color theme="6" tint="0.59996337778862885"/>
      </bottom>
      <diagonal/>
    </border>
    <border>
      <left/>
      <right style="medium">
        <color theme="0"/>
      </right>
      <top style="medium">
        <color theme="0"/>
      </top>
      <bottom/>
      <diagonal/>
    </border>
    <border>
      <left/>
      <right style="medium">
        <color theme="0"/>
      </right>
      <top/>
      <bottom style="medium">
        <color theme="0"/>
      </bottom>
      <diagonal/>
    </border>
    <border>
      <left/>
      <right/>
      <top/>
      <bottom style="thick">
        <color rgb="FF00B050"/>
      </bottom>
      <diagonal/>
    </border>
    <border>
      <left/>
      <right style="thick">
        <color rgb="FF00B050"/>
      </right>
      <top/>
      <bottom style="thick">
        <color rgb="FF00B050"/>
      </bottom>
      <diagonal/>
    </border>
    <border>
      <left/>
      <right style="thick">
        <color rgb="FF00B050"/>
      </right>
      <top/>
      <bottom/>
      <diagonal/>
    </border>
    <border>
      <left style="thick">
        <color rgb="FF00B050"/>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style="thick">
        <color rgb="FF00B050"/>
      </bottom>
      <diagonal/>
    </border>
    <border>
      <left style="medium">
        <color theme="0"/>
      </left>
      <right style="medium">
        <color theme="0"/>
      </right>
      <top style="medium">
        <color theme="0"/>
      </top>
      <bottom/>
      <diagonal/>
    </border>
    <border>
      <left/>
      <right style="medium">
        <color theme="6" tint="0.59996337778862885"/>
      </right>
      <top style="medium">
        <color theme="0"/>
      </top>
      <bottom style="medium">
        <color theme="0"/>
      </bottom>
      <diagonal/>
    </border>
    <border>
      <left/>
      <right/>
      <top/>
      <bottom style="medium">
        <color theme="6" tint="-0.24994659260841701"/>
      </bottom>
      <diagonal/>
    </border>
    <border>
      <left/>
      <right/>
      <top style="medium">
        <color theme="6" tint="-0.24994659260841701"/>
      </top>
      <bottom style="medium">
        <color theme="6" tint="-0.24994659260841701"/>
      </bottom>
      <diagonal/>
    </border>
    <border>
      <left/>
      <right/>
      <top/>
      <bottom style="medium">
        <color theme="0"/>
      </bottom>
      <diagonal/>
    </border>
    <border>
      <left style="medium">
        <color theme="6" tint="-0.24994659260841701"/>
      </left>
      <right style="medium">
        <color theme="6" tint="-0.24994659260841701"/>
      </right>
      <top/>
      <bottom style="medium">
        <color theme="6" tint="-0.24994659260841701"/>
      </bottom>
      <diagonal/>
    </border>
    <border>
      <left/>
      <right style="medium">
        <color theme="6" tint="0.59996337778862885"/>
      </right>
      <top/>
      <bottom/>
      <diagonal/>
    </border>
    <border>
      <left style="medium">
        <color theme="0"/>
      </left>
      <right/>
      <top/>
      <bottom/>
      <diagonal/>
    </border>
    <border>
      <left style="medium">
        <color theme="0"/>
      </left>
      <right style="medium">
        <color theme="0"/>
      </right>
      <top/>
      <bottom/>
      <diagonal/>
    </border>
    <border>
      <left style="thin">
        <color theme="0"/>
      </left>
      <right/>
      <top style="thin">
        <color theme="0"/>
      </top>
      <bottom style="thin">
        <color theme="0"/>
      </bottom>
      <diagonal/>
    </border>
    <border>
      <left style="medium">
        <color theme="0"/>
      </left>
      <right/>
      <top/>
      <bottom style="medium">
        <color theme="0"/>
      </bottom>
      <diagonal/>
    </border>
    <border>
      <left style="medium">
        <color theme="0"/>
      </left>
      <right/>
      <top style="medium">
        <color theme="0"/>
      </top>
      <bottom/>
      <diagonal/>
    </border>
    <border>
      <left style="medium">
        <color theme="6" tint="0.59996337778862885"/>
      </left>
      <right style="medium">
        <color theme="6" tint="0.59996337778862885"/>
      </right>
      <top/>
      <bottom style="medium">
        <color theme="6" tint="0.59996337778862885"/>
      </bottom>
      <diagonal/>
    </border>
    <border>
      <left style="medium">
        <color theme="6" tint="0.39994506668294322"/>
      </left>
      <right style="medium">
        <color theme="6" tint="0.39994506668294322"/>
      </right>
      <top/>
      <bottom style="medium">
        <color theme="6" tint="0.39994506668294322"/>
      </bottom>
      <diagonal/>
    </border>
    <border>
      <left style="medium">
        <color theme="6" tint="0.39994506668294322"/>
      </left>
      <right style="medium">
        <color theme="6" tint="0.39994506668294322"/>
      </right>
      <top style="medium">
        <color theme="6" tint="0.39994506668294322"/>
      </top>
      <bottom style="medium">
        <color theme="6" tint="0.39994506668294322"/>
      </bottom>
      <diagonal/>
    </border>
    <border>
      <left/>
      <right style="medium">
        <color theme="6" tint="0.59996337778862885"/>
      </right>
      <top style="medium">
        <color theme="0"/>
      </top>
      <bottom/>
      <diagonal/>
    </border>
    <border>
      <left/>
      <right style="medium">
        <color theme="6" tint="0.59996337778862885"/>
      </right>
      <top/>
      <bottom style="medium">
        <color theme="0"/>
      </bottom>
      <diagonal/>
    </border>
  </borders>
  <cellStyleXfs count="5">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0" borderId="0"/>
    <xf numFmtId="0" fontId="3" fillId="0" borderId="0"/>
  </cellStyleXfs>
  <cellXfs count="516">
    <xf numFmtId="0" fontId="0" fillId="0" borderId="0" xfId="0"/>
    <xf numFmtId="0" fontId="0" fillId="0" borderId="0" xfId="0" applyFont="1" applyProtection="1"/>
    <xf numFmtId="0" fontId="5" fillId="0" borderId="0" xfId="0" applyFont="1" applyProtection="1"/>
    <xf numFmtId="0" fontId="6" fillId="3" borderId="0" xfId="0" applyFont="1" applyFill="1" applyAlignment="1">
      <alignment horizontal="left"/>
    </xf>
    <xf numFmtId="0" fontId="6" fillId="0" borderId="0" xfId="0" applyFont="1"/>
    <xf numFmtId="0" fontId="6" fillId="0" borderId="0" xfId="0" applyFont="1" applyAlignment="1">
      <alignment horizontal="left"/>
    </xf>
    <xf numFmtId="0" fontId="6" fillId="0" borderId="0" xfId="0" quotePrefix="1" applyFont="1"/>
    <xf numFmtId="0" fontId="6" fillId="3" borderId="0" xfId="0" applyFont="1" applyFill="1"/>
    <xf numFmtId="0" fontId="6" fillId="0" borderId="0" xfId="0" applyFont="1" applyAlignment="1">
      <alignment horizontal="right"/>
    </xf>
    <xf numFmtId="164" fontId="6" fillId="0" borderId="0" xfId="2" applyNumberFormat="1" applyFont="1"/>
    <xf numFmtId="0" fontId="7" fillId="0" borderId="0" xfId="0" applyFont="1" applyAlignment="1">
      <alignment horizontal="left"/>
    </xf>
    <xf numFmtId="0" fontId="7" fillId="0" borderId="0" xfId="0" applyFont="1"/>
    <xf numFmtId="164" fontId="7" fillId="0" borderId="0" xfId="0" applyNumberFormat="1" applyFont="1"/>
    <xf numFmtId="0" fontId="6" fillId="0" borderId="0" xfId="0" applyFont="1" applyAlignment="1">
      <alignment vertical="center"/>
    </xf>
    <xf numFmtId="0" fontId="4" fillId="2" borderId="1" xfId="0" applyFont="1" applyFill="1" applyBorder="1" applyAlignment="1">
      <alignment vertical="top" wrapText="1"/>
    </xf>
    <xf numFmtId="0" fontId="8" fillId="2" borderId="6" xfId="0" applyFont="1" applyFill="1" applyBorder="1" applyAlignment="1">
      <alignment horizontal="center" vertical="top" wrapText="1"/>
    </xf>
    <xf numFmtId="0" fontId="8" fillId="2" borderId="2" xfId="0" applyFont="1" applyFill="1" applyBorder="1" applyAlignment="1">
      <alignment horizontal="left" vertical="top" wrapText="1"/>
    </xf>
    <xf numFmtId="0" fontId="8" fillId="2" borderId="7" xfId="0" applyFont="1" applyFill="1" applyBorder="1" applyAlignment="1">
      <alignment vertical="top" wrapText="1"/>
    </xf>
    <xf numFmtId="9" fontId="8" fillId="2" borderId="2" xfId="1" applyFont="1" applyFill="1" applyBorder="1" applyAlignment="1">
      <alignment vertical="top" wrapText="1"/>
    </xf>
    <xf numFmtId="0" fontId="4" fillId="6" borderId="1" xfId="0" applyFont="1" applyFill="1" applyBorder="1" applyAlignment="1">
      <alignment vertical="top" wrapText="1"/>
    </xf>
    <xf numFmtId="0" fontId="8" fillId="6" borderId="6" xfId="0" applyFont="1" applyFill="1" applyBorder="1" applyAlignment="1">
      <alignment horizontal="center" vertical="top" wrapText="1"/>
    </xf>
    <xf numFmtId="0" fontId="8" fillId="6" borderId="2" xfId="0" applyFont="1" applyFill="1" applyBorder="1" applyAlignment="1">
      <alignment horizontal="left" vertical="top" wrapText="1"/>
    </xf>
    <xf numFmtId="0" fontId="8" fillId="6" borderId="7" xfId="0" applyFont="1" applyFill="1" applyBorder="1" applyAlignment="1">
      <alignment vertical="top" wrapText="1"/>
    </xf>
    <xf numFmtId="9" fontId="8" fillId="6" borderId="2" xfId="1" applyFont="1" applyFill="1" applyBorder="1" applyAlignment="1">
      <alignment vertical="top" wrapText="1"/>
    </xf>
    <xf numFmtId="14" fontId="6" fillId="0" borderId="0" xfId="0" applyNumberFormat="1" applyFont="1" applyAlignment="1">
      <alignment horizontal="left"/>
    </xf>
    <xf numFmtId="167" fontId="6" fillId="0" borderId="0" xfId="2" applyNumberFormat="1" applyFont="1" applyAlignment="1">
      <alignment horizontal="right"/>
    </xf>
    <xf numFmtId="0" fontId="13" fillId="13" borderId="0" xfId="0" applyFont="1" applyFill="1" applyAlignment="1" applyProtection="1">
      <alignment horizontal="left"/>
    </xf>
    <xf numFmtId="0" fontId="0" fillId="0" borderId="0" xfId="0" applyFont="1"/>
    <xf numFmtId="0" fontId="17" fillId="10" borderId="27" xfId="0" applyFont="1" applyFill="1" applyBorder="1" applyAlignment="1" applyProtection="1">
      <alignment horizontal="left"/>
    </xf>
    <xf numFmtId="4" fontId="19" fillId="10" borderId="11" xfId="0" applyNumberFormat="1" applyFont="1" applyFill="1" applyBorder="1" applyAlignment="1" applyProtection="1"/>
    <xf numFmtId="10" fontId="20" fillId="10" borderId="0" xfId="0" applyNumberFormat="1" applyFont="1" applyFill="1" applyBorder="1" applyAlignment="1" applyProtection="1">
      <alignment horizontal="center"/>
    </xf>
    <xf numFmtId="0" fontId="17" fillId="10" borderId="47" xfId="0" applyFont="1" applyFill="1" applyBorder="1" applyAlignment="1" applyProtection="1">
      <alignment horizontal="left"/>
    </xf>
    <xf numFmtId="14" fontId="18" fillId="5" borderId="11" xfId="0" applyNumberFormat="1" applyFont="1" applyFill="1" applyBorder="1" applyAlignment="1" applyProtection="1">
      <alignment horizontal="left" vertical="center" wrapText="1"/>
    </xf>
    <xf numFmtId="0" fontId="22" fillId="10" borderId="24" xfId="0" applyFont="1" applyFill="1" applyBorder="1" applyAlignment="1" applyProtection="1">
      <alignment vertical="top"/>
    </xf>
    <xf numFmtId="0" fontId="23" fillId="10" borderId="24" xfId="0" applyFont="1" applyFill="1" applyBorder="1" applyAlignment="1" applyProtection="1">
      <alignment vertical="top"/>
    </xf>
    <xf numFmtId="0" fontId="17" fillId="6" borderId="0" xfId="0" applyFont="1" applyFill="1" applyBorder="1" applyAlignment="1" applyProtection="1">
      <alignment horizontal="center"/>
    </xf>
    <xf numFmtId="0" fontId="13" fillId="0" borderId="0" xfId="0" applyFont="1" applyProtection="1"/>
    <xf numFmtId="0" fontId="25" fillId="6" borderId="0" xfId="0" applyFont="1" applyFill="1" applyBorder="1" applyAlignment="1" applyProtection="1">
      <alignment horizontal="left" vertical="top" wrapText="1"/>
    </xf>
    <xf numFmtId="0" fontId="0" fillId="0" borderId="0" xfId="0" applyFont="1" applyProtection="1">
      <protection locked="0"/>
    </xf>
    <xf numFmtId="1" fontId="27" fillId="4" borderId="3" xfId="0" applyNumberFormat="1" applyFont="1" applyFill="1" applyBorder="1" applyAlignment="1" applyProtection="1">
      <alignment horizontal="center" vertical="center"/>
    </xf>
    <xf numFmtId="10" fontId="28" fillId="4" borderId="3" xfId="1" applyNumberFormat="1" applyFont="1" applyFill="1" applyBorder="1" applyAlignment="1" applyProtection="1">
      <alignment horizontal="center" vertical="center" wrapText="1"/>
    </xf>
    <xf numFmtId="4" fontId="29" fillId="4" borderId="3" xfId="0" applyNumberFormat="1" applyFont="1" applyFill="1" applyBorder="1" applyAlignment="1" applyProtection="1">
      <alignment vertical="center" wrapText="1"/>
    </xf>
    <xf numFmtId="0" fontId="12" fillId="0" borderId="0" xfId="0" applyFont="1"/>
    <xf numFmtId="4" fontId="7" fillId="7" borderId="53" xfId="0" applyNumberFormat="1" applyFont="1" applyFill="1" applyBorder="1" applyAlignment="1" applyProtection="1">
      <alignment vertical="center" wrapText="1"/>
    </xf>
    <xf numFmtId="4" fontId="30" fillId="7" borderId="53" xfId="0" applyNumberFormat="1" applyFont="1" applyFill="1" applyBorder="1" applyAlignment="1" applyProtection="1">
      <alignment vertical="center" wrapText="1"/>
    </xf>
    <xf numFmtId="4" fontId="32" fillId="6" borderId="21" xfId="0" applyNumberFormat="1" applyFont="1" applyFill="1" applyBorder="1" applyAlignment="1" applyProtection="1">
      <alignment vertical="center" wrapText="1"/>
      <protection locked="0"/>
    </xf>
    <xf numFmtId="4" fontId="18" fillId="2" borderId="21" xfId="0" applyNumberFormat="1" applyFont="1" applyFill="1" applyBorder="1" applyAlignment="1" applyProtection="1">
      <alignment vertical="center" wrapText="1"/>
    </xf>
    <xf numFmtId="4" fontId="6" fillId="7" borderId="21" xfId="0" applyNumberFormat="1" applyFont="1" applyFill="1" applyBorder="1" applyAlignment="1" applyProtection="1">
      <alignment vertical="center" wrapText="1"/>
    </xf>
    <xf numFmtId="4" fontId="7" fillId="7" borderId="21" xfId="0" applyNumberFormat="1" applyFont="1" applyFill="1" applyBorder="1" applyAlignment="1" applyProtection="1">
      <alignment vertical="center" wrapText="1"/>
    </xf>
    <xf numFmtId="4" fontId="6" fillId="11" borderId="21" xfId="0" applyNumberFormat="1" applyFont="1" applyFill="1" applyBorder="1" applyAlignment="1" applyProtection="1">
      <alignment vertical="center" wrapText="1"/>
    </xf>
    <xf numFmtId="4" fontId="7" fillId="11" borderId="21" xfId="0" applyNumberFormat="1" applyFont="1" applyFill="1" applyBorder="1" applyAlignment="1" applyProtection="1">
      <alignment vertical="center" wrapText="1"/>
    </xf>
    <xf numFmtId="0" fontId="32" fillId="6" borderId="0" xfId="0" applyFont="1" applyFill="1" applyBorder="1" applyProtection="1"/>
    <xf numFmtId="4" fontId="6" fillId="6" borderId="21" xfId="0" applyNumberFormat="1" applyFont="1" applyFill="1" applyBorder="1" applyAlignment="1" applyProtection="1">
      <alignment vertical="center" wrapText="1"/>
      <protection locked="0"/>
    </xf>
    <xf numFmtId="4" fontId="7" fillId="6" borderId="21" xfId="0" applyNumberFormat="1" applyFont="1" applyFill="1" applyBorder="1" applyAlignment="1" applyProtection="1">
      <alignment vertical="center" wrapText="1"/>
    </xf>
    <xf numFmtId="0" fontId="6" fillId="6" borderId="0" xfId="0" applyFont="1" applyFill="1" applyAlignment="1" applyProtection="1">
      <alignment horizontal="left"/>
    </xf>
    <xf numFmtId="0" fontId="0" fillId="6" borderId="0" xfId="0" applyFont="1" applyFill="1" applyAlignment="1" applyProtection="1">
      <alignment horizontal="left" wrapText="1"/>
    </xf>
    <xf numFmtId="0" fontId="33" fillId="6" borderId="0" xfId="0" applyFont="1" applyFill="1" applyAlignment="1" applyProtection="1">
      <alignment wrapText="1"/>
    </xf>
    <xf numFmtId="4" fontId="31" fillId="6" borderId="0" xfId="0" applyNumberFormat="1" applyFont="1" applyFill="1" applyProtection="1"/>
    <xf numFmtId="10" fontId="34" fillId="6" borderId="0" xfId="0" applyNumberFormat="1" applyFont="1" applyFill="1" applyProtection="1"/>
    <xf numFmtId="0" fontId="7" fillId="6" borderId="0" xfId="0" applyFont="1" applyFill="1" applyAlignment="1" applyProtection="1">
      <alignment horizontal="left"/>
    </xf>
    <xf numFmtId="0" fontId="12" fillId="0" borderId="0" xfId="0" applyFont="1" applyAlignment="1" applyProtection="1">
      <alignment horizontal="left" vertical="top"/>
    </xf>
    <xf numFmtId="0" fontId="6" fillId="6" borderId="28" xfId="0" applyFont="1" applyFill="1" applyBorder="1" applyAlignment="1" applyProtection="1">
      <alignment horizontal="left" wrapText="1"/>
    </xf>
    <xf numFmtId="0" fontId="0" fillId="6" borderId="29" xfId="0" applyFont="1" applyFill="1" applyBorder="1" applyAlignment="1" applyProtection="1">
      <alignment horizontal="left"/>
    </xf>
    <xf numFmtId="0" fontId="6" fillId="6" borderId="31" xfId="0" applyFont="1" applyFill="1" applyBorder="1" applyAlignment="1" applyProtection="1">
      <alignment horizontal="right" vertical="center" wrapText="1"/>
    </xf>
    <xf numFmtId="0" fontId="0" fillId="6" borderId="0" xfId="0" applyFont="1" applyFill="1" applyBorder="1" applyAlignment="1" applyProtection="1">
      <alignment horizontal="left" vertical="center"/>
    </xf>
    <xf numFmtId="4" fontId="31" fillId="6" borderId="0" xfId="0" applyNumberFormat="1" applyFont="1" applyFill="1" applyAlignment="1" applyProtection="1">
      <alignment vertical="center"/>
    </xf>
    <xf numFmtId="10" fontId="34" fillId="6" borderId="0" xfId="0" applyNumberFormat="1" applyFont="1" applyFill="1" applyAlignment="1" applyProtection="1">
      <alignment vertical="center"/>
    </xf>
    <xf numFmtId="0" fontId="0" fillId="0" borderId="0" xfId="0" applyFont="1" applyAlignment="1" applyProtection="1">
      <alignment vertical="center"/>
      <protection locked="0"/>
    </xf>
    <xf numFmtId="0" fontId="12" fillId="6" borderId="0" xfId="0" applyFont="1" applyFill="1" applyBorder="1" applyAlignment="1" applyProtection="1">
      <alignment horizontal="left" vertical="center"/>
    </xf>
    <xf numFmtId="0" fontId="6" fillId="6" borderId="31" xfId="0" applyFont="1" applyFill="1" applyBorder="1" applyAlignment="1" applyProtection="1">
      <alignment horizontal="left" wrapText="1"/>
    </xf>
    <xf numFmtId="0" fontId="0" fillId="6" borderId="0" xfId="0" applyFont="1" applyFill="1" applyBorder="1" applyAlignment="1" applyProtection="1">
      <alignment horizontal="left"/>
    </xf>
    <xf numFmtId="0" fontId="6" fillId="6" borderId="33" xfId="0" applyFont="1" applyFill="1" applyBorder="1" applyAlignment="1" applyProtection="1">
      <alignment horizontal="left" wrapText="1"/>
    </xf>
    <xf numFmtId="0" fontId="0" fillId="6" borderId="34" xfId="0" applyFont="1" applyFill="1" applyBorder="1" applyAlignment="1" applyProtection="1">
      <alignment horizontal="left"/>
    </xf>
    <xf numFmtId="0" fontId="11" fillId="6" borderId="0" xfId="0" applyFont="1" applyFill="1" applyAlignment="1">
      <alignment horizontal="left"/>
    </xf>
    <xf numFmtId="0" fontId="0" fillId="6" borderId="0" xfId="0" applyFont="1" applyFill="1"/>
    <xf numFmtId="4" fontId="6" fillId="6" borderId="0" xfId="0" applyNumberFormat="1" applyFont="1" applyFill="1"/>
    <xf numFmtId="10" fontId="34" fillId="6" borderId="0" xfId="0" applyNumberFormat="1" applyFont="1" applyFill="1"/>
    <xf numFmtId="0" fontId="11" fillId="0" borderId="0" xfId="0" applyFont="1" applyAlignment="1">
      <alignment horizontal="left"/>
    </xf>
    <xf numFmtId="4" fontId="6" fillId="0" borderId="0" xfId="0" applyNumberFormat="1" applyFont="1"/>
    <xf numFmtId="10" fontId="34" fillId="0" borderId="0" xfId="0" applyNumberFormat="1" applyFont="1"/>
    <xf numFmtId="0" fontId="31" fillId="0" borderId="0" xfId="0" applyFont="1" applyAlignment="1" applyProtection="1">
      <alignment horizontal="left"/>
      <protection locked="0"/>
    </xf>
    <xf numFmtId="0" fontId="6" fillId="0" borderId="0" xfId="0" applyFont="1" applyAlignment="1" applyProtection="1">
      <alignment horizontal="left"/>
      <protection locked="0"/>
    </xf>
    <xf numFmtId="0" fontId="0" fillId="0" borderId="0" xfId="0" applyFont="1" applyAlignment="1" applyProtection="1">
      <alignment horizontal="left" wrapText="1"/>
      <protection locked="0"/>
    </xf>
    <xf numFmtId="0" fontId="33" fillId="0" borderId="0" xfId="0" applyFont="1" applyAlignment="1" applyProtection="1">
      <alignment wrapText="1"/>
      <protection locked="0"/>
    </xf>
    <xf numFmtId="4" fontId="35" fillId="0" borderId="0" xfId="0" applyNumberFormat="1" applyFont="1" applyAlignment="1" applyProtection="1">
      <alignment horizontal="center"/>
      <protection locked="0"/>
    </xf>
    <xf numFmtId="43" fontId="22" fillId="10" borderId="24" xfId="2" applyFont="1" applyFill="1" applyBorder="1" applyAlignment="1" applyProtection="1">
      <alignment vertical="top"/>
    </xf>
    <xf numFmtId="4" fontId="7" fillId="7" borderId="19" xfId="0" applyNumberFormat="1" applyFont="1" applyFill="1" applyBorder="1" applyAlignment="1" applyProtection="1">
      <alignment vertical="center" wrapText="1"/>
    </xf>
    <xf numFmtId="10" fontId="36" fillId="7" borderId="19" xfId="1" applyNumberFormat="1" applyFont="1" applyFill="1" applyBorder="1" applyAlignment="1" applyProtection="1">
      <alignment vertical="center" wrapText="1"/>
    </xf>
    <xf numFmtId="4" fontId="7" fillId="6" borderId="19" xfId="0" applyNumberFormat="1" applyFont="1" applyFill="1" applyBorder="1" applyAlignment="1" applyProtection="1">
      <alignment horizontal="center" vertical="center" wrapText="1"/>
    </xf>
    <xf numFmtId="0" fontId="32" fillId="11" borderId="0" xfId="0" applyFont="1" applyFill="1" applyBorder="1"/>
    <xf numFmtId="10" fontId="20" fillId="11" borderId="0" xfId="0" applyNumberFormat="1" applyFont="1" applyFill="1" applyBorder="1" applyAlignment="1" applyProtection="1">
      <alignment horizontal="right"/>
    </xf>
    <xf numFmtId="0" fontId="32" fillId="6" borderId="0" xfId="0" applyFont="1" applyFill="1" applyBorder="1"/>
    <xf numFmtId="10" fontId="20" fillId="6" borderId="0" xfId="0" applyNumberFormat="1" applyFont="1" applyFill="1" applyBorder="1" applyAlignment="1" applyProtection="1">
      <alignment horizontal="right"/>
    </xf>
    <xf numFmtId="0" fontId="6" fillId="0" borderId="0" xfId="0" applyFont="1" applyAlignment="1" applyProtection="1">
      <alignment horizontal="left"/>
    </xf>
    <xf numFmtId="0" fontId="0" fillId="0" borderId="0" xfId="0" applyFont="1" applyAlignment="1" applyProtection="1">
      <alignment horizontal="left" wrapText="1"/>
    </xf>
    <xf numFmtId="0" fontId="33" fillId="0" borderId="0" xfId="0" applyFont="1" applyAlignment="1" applyProtection="1">
      <alignment wrapText="1"/>
    </xf>
    <xf numFmtId="4" fontId="35" fillId="0" borderId="0" xfId="0" applyNumberFormat="1" applyFont="1" applyAlignment="1" applyProtection="1">
      <alignment horizontal="center"/>
    </xf>
    <xf numFmtId="10" fontId="34" fillId="0" borderId="0" xfId="0" applyNumberFormat="1" applyFont="1" applyProtection="1"/>
    <xf numFmtId="0" fontId="33" fillId="6" borderId="29" xfId="0" applyFont="1" applyFill="1" applyBorder="1" applyProtection="1"/>
    <xf numFmtId="166" fontId="33" fillId="6" borderId="0" xfId="0" applyNumberFormat="1" applyFont="1" applyFill="1" applyBorder="1" applyAlignment="1" applyProtection="1">
      <alignment vertical="center"/>
    </xf>
    <xf numFmtId="4" fontId="35" fillId="0" borderId="0" xfId="0" applyNumberFormat="1" applyFont="1" applyAlignment="1" applyProtection="1">
      <alignment horizontal="center" vertical="center"/>
    </xf>
    <xf numFmtId="10" fontId="34" fillId="0" borderId="0" xfId="0" applyNumberFormat="1" applyFont="1" applyAlignment="1" applyProtection="1">
      <alignment vertical="center"/>
    </xf>
    <xf numFmtId="0" fontId="33" fillId="6" borderId="0" xfId="0" applyFont="1" applyFill="1" applyBorder="1" applyAlignment="1" applyProtection="1">
      <alignment vertical="center"/>
    </xf>
    <xf numFmtId="0" fontId="33" fillId="6" borderId="0" xfId="0" applyFont="1" applyFill="1" applyBorder="1" applyProtection="1"/>
    <xf numFmtId="0" fontId="6" fillId="0" borderId="33" xfId="0" applyFont="1" applyBorder="1" applyAlignment="1" applyProtection="1">
      <alignment horizontal="left" wrapText="1"/>
    </xf>
    <xf numFmtId="0" fontId="0" fillId="0" borderId="34" xfId="0" applyFont="1" applyBorder="1" applyAlignment="1" applyProtection="1">
      <alignment horizontal="left"/>
    </xf>
    <xf numFmtId="0" fontId="33" fillId="0" borderId="34" xfId="0" applyFont="1" applyBorder="1" applyProtection="1"/>
    <xf numFmtId="0" fontId="37" fillId="10" borderId="11" xfId="0" applyFont="1" applyFill="1" applyBorder="1" applyAlignment="1" applyProtection="1"/>
    <xf numFmtId="4" fontId="26" fillId="9" borderId="0" xfId="0" applyNumberFormat="1" applyFont="1" applyFill="1" applyBorder="1" applyAlignment="1">
      <alignment horizontal="left"/>
    </xf>
    <xf numFmtId="4" fontId="26" fillId="9" borderId="0" xfId="0" applyNumberFormat="1" applyFont="1" applyFill="1" applyBorder="1" applyAlignment="1">
      <alignment horizontal="center"/>
    </xf>
    <xf numFmtId="1" fontId="26" fillId="9" borderId="0" xfId="0" applyNumberFormat="1" applyFont="1" applyFill="1" applyBorder="1" applyAlignment="1" applyProtection="1">
      <alignment horizontal="center"/>
      <protection locked="0"/>
    </xf>
    <xf numFmtId="10" fontId="34" fillId="7" borderId="19" xfId="1" applyNumberFormat="1" applyFont="1" applyFill="1" applyBorder="1" applyAlignment="1" applyProtection="1">
      <alignment vertical="center" wrapText="1"/>
    </xf>
    <xf numFmtId="10" fontId="38" fillId="7" borderId="19" xfId="1" applyNumberFormat="1" applyFont="1" applyFill="1" applyBorder="1" applyAlignment="1" applyProtection="1">
      <alignment vertical="center" wrapText="1"/>
    </xf>
    <xf numFmtId="4" fontId="6" fillId="2" borderId="10" xfId="0" applyNumberFormat="1" applyFont="1" applyFill="1" applyBorder="1" applyAlignment="1" applyProtection="1">
      <alignment horizontal="right" vertical="center" wrapText="1"/>
    </xf>
    <xf numFmtId="10" fontId="39" fillId="11" borderId="0" xfId="1" applyNumberFormat="1" applyFont="1" applyFill="1" applyBorder="1"/>
    <xf numFmtId="4" fontId="6" fillId="7" borderId="10" xfId="0" applyNumberFormat="1" applyFont="1" applyFill="1" applyBorder="1" applyAlignment="1" applyProtection="1">
      <alignment horizontal="right" vertical="center" wrapText="1"/>
    </xf>
    <xf numFmtId="10" fontId="39" fillId="6" borderId="0" xfId="1" applyNumberFormat="1" applyFont="1" applyFill="1" applyBorder="1"/>
    <xf numFmtId="0" fontId="0" fillId="7" borderId="10" xfId="0" applyFont="1" applyFill="1" applyBorder="1" applyAlignment="1" applyProtection="1">
      <alignment vertical="center" wrapText="1"/>
    </xf>
    <xf numFmtId="0" fontId="0" fillId="7" borderId="49" xfId="0" applyFont="1" applyFill="1" applyBorder="1" applyAlignment="1" applyProtection="1">
      <alignment vertical="center" wrapText="1"/>
    </xf>
    <xf numFmtId="10" fontId="39" fillId="11" borderId="0" xfId="0" applyNumberFormat="1" applyFont="1" applyFill="1" applyBorder="1" applyAlignment="1" applyProtection="1">
      <alignment horizontal="right"/>
    </xf>
    <xf numFmtId="10" fontId="39" fillId="6" borderId="0" xfId="0" applyNumberFormat="1" applyFont="1" applyFill="1" applyBorder="1" applyAlignment="1" applyProtection="1">
      <alignment horizontal="right"/>
    </xf>
    <xf numFmtId="10" fontId="20" fillId="10" borderId="26" xfId="0" applyNumberFormat="1" applyFont="1" applyFill="1" applyBorder="1" applyAlignment="1" applyProtection="1">
      <alignment horizontal="center"/>
    </xf>
    <xf numFmtId="0" fontId="41" fillId="10" borderId="15" xfId="0" applyFont="1" applyFill="1" applyBorder="1" applyAlignment="1" applyProtection="1">
      <alignment horizontal="left" vertical="center" wrapText="1"/>
    </xf>
    <xf numFmtId="0" fontId="17" fillId="6" borderId="45" xfId="0" applyFont="1" applyFill="1" applyBorder="1" applyAlignment="1" applyProtection="1">
      <alignment horizontal="center"/>
    </xf>
    <xf numFmtId="1" fontId="26" fillId="9" borderId="0" xfId="0" applyNumberFormat="1" applyFont="1" applyFill="1" applyBorder="1" applyAlignment="1" applyProtection="1">
      <alignment horizontal="center"/>
    </xf>
    <xf numFmtId="10" fontId="28" fillId="9" borderId="0" xfId="0" applyNumberFormat="1" applyFont="1" applyFill="1" applyBorder="1" applyAlignment="1" applyProtection="1">
      <alignment horizontal="center"/>
    </xf>
    <xf numFmtId="4" fontId="6" fillId="7" borderId="19" xfId="0" applyNumberFormat="1" applyFont="1" applyFill="1" applyBorder="1" applyAlignment="1" applyProtection="1">
      <alignment vertical="center" wrapText="1"/>
    </xf>
    <xf numFmtId="0" fontId="19" fillId="0" borderId="0" xfId="0" applyFont="1"/>
    <xf numFmtId="0" fontId="0" fillId="0" borderId="0" xfId="0" applyFont="1" applyAlignment="1" applyProtection="1">
      <alignment vertical="center"/>
    </xf>
    <xf numFmtId="0" fontId="40" fillId="10" borderId="0" xfId="0" applyFont="1" applyFill="1" applyBorder="1" applyProtection="1"/>
    <xf numFmtId="0" fontId="41" fillId="10" borderId="26" xfId="0" applyFont="1" applyFill="1" applyBorder="1" applyProtection="1"/>
    <xf numFmtId="14" fontId="18" fillId="6" borderId="11" xfId="0" applyNumberFormat="1" applyFont="1" applyFill="1" applyBorder="1" applyAlignment="1" applyProtection="1">
      <alignment horizontal="left" vertical="center" wrapText="1"/>
      <protection locked="0"/>
    </xf>
    <xf numFmtId="0" fontId="45" fillId="10" borderId="11" xfId="0" applyFont="1" applyFill="1" applyBorder="1" applyAlignment="1" applyProtection="1">
      <alignment horizontal="left" vertical="center"/>
    </xf>
    <xf numFmtId="0" fontId="41" fillId="10" borderId="11" xfId="0" applyFont="1" applyFill="1" applyBorder="1" applyAlignment="1" applyProtection="1">
      <alignment horizontal="left" vertical="center" wrapText="1"/>
    </xf>
    <xf numFmtId="0" fontId="44" fillId="10" borderId="11" xfId="0" applyFont="1" applyFill="1" applyBorder="1" applyAlignment="1" applyProtection="1">
      <alignment horizontal="left" vertical="center" wrapText="1"/>
    </xf>
    <xf numFmtId="0" fontId="46" fillId="10" borderId="11" xfId="0" applyFont="1" applyFill="1" applyBorder="1" applyAlignment="1" applyProtection="1">
      <alignment horizontal="left" vertical="center"/>
    </xf>
    <xf numFmtId="0" fontId="40" fillId="10" borderId="0" xfId="0" applyFont="1" applyFill="1" applyBorder="1" applyAlignment="1" applyProtection="1">
      <alignment vertical="top"/>
    </xf>
    <xf numFmtId="0" fontId="40" fillId="10" borderId="26" xfId="0" applyFont="1" applyFill="1" applyBorder="1" applyAlignment="1" applyProtection="1">
      <alignment vertical="top"/>
    </xf>
    <xf numFmtId="0" fontId="32" fillId="6" borderId="11" xfId="0" applyFont="1" applyFill="1" applyBorder="1" applyAlignment="1" applyProtection="1">
      <alignment horizontal="left"/>
      <protection locked="0"/>
    </xf>
    <xf numFmtId="0" fontId="21" fillId="10" borderId="11" xfId="0" applyFont="1" applyFill="1" applyBorder="1" applyAlignment="1" applyProtection="1">
      <alignment vertical="center" wrapText="1"/>
    </xf>
    <xf numFmtId="0" fontId="46" fillId="10" borderId="11" xfId="0" applyFont="1" applyFill="1" applyBorder="1" applyProtection="1"/>
    <xf numFmtId="0" fontId="45" fillId="10" borderId="11" xfId="0" applyFont="1" applyFill="1" applyBorder="1" applyProtection="1"/>
    <xf numFmtId="0" fontId="41" fillId="10" borderId="15" xfId="0" applyFont="1" applyFill="1" applyBorder="1" applyAlignment="1" applyProtection="1">
      <alignment vertical="center" wrapText="1"/>
    </xf>
    <xf numFmtId="0" fontId="41" fillId="10" borderId="11" xfId="0" applyFont="1" applyFill="1" applyBorder="1" applyAlignment="1" applyProtection="1">
      <alignment vertical="center" wrapText="1"/>
    </xf>
    <xf numFmtId="0" fontId="23" fillId="10" borderId="0" xfId="0" applyFont="1" applyFill="1" applyBorder="1" applyAlignment="1" applyProtection="1">
      <alignment vertical="top"/>
    </xf>
    <xf numFmtId="0" fontId="23" fillId="10" borderId="26" xfId="0" applyFont="1" applyFill="1" applyBorder="1" applyAlignment="1" applyProtection="1">
      <alignment vertical="top"/>
    </xf>
    <xf numFmtId="165" fontId="48" fillId="6" borderId="11" xfId="0" applyNumberFormat="1" applyFont="1" applyFill="1" applyBorder="1" applyAlignment="1" applyProtection="1">
      <alignment horizontal="center" vertical="center" wrapText="1"/>
    </xf>
    <xf numFmtId="0" fontId="49" fillId="10" borderId="11" xfId="0" applyFont="1" applyFill="1" applyBorder="1" applyAlignment="1" applyProtection="1">
      <alignment horizontal="left" vertical="center"/>
    </xf>
    <xf numFmtId="0" fontId="46" fillId="14" borderId="3" xfId="0" applyFont="1" applyFill="1" applyBorder="1" applyAlignment="1" applyProtection="1">
      <alignment vertical="center" wrapText="1"/>
    </xf>
    <xf numFmtId="0" fontId="26" fillId="9" borderId="4" xfId="0" applyFont="1" applyFill="1" applyBorder="1" applyAlignment="1" applyProtection="1">
      <alignment horizontal="left" vertical="center" wrapText="1"/>
    </xf>
    <xf numFmtId="0" fontId="51" fillId="9" borderId="4" xfId="0" applyFont="1" applyFill="1" applyBorder="1" applyAlignment="1" applyProtection="1">
      <alignment vertical="center" wrapText="1"/>
    </xf>
    <xf numFmtId="0" fontId="26" fillId="9" borderId="4" xfId="0" applyFont="1" applyFill="1" applyBorder="1" applyAlignment="1" applyProtection="1">
      <alignment vertical="center" wrapText="1"/>
    </xf>
    <xf numFmtId="0" fontId="27" fillId="9" borderId="4" xfId="0" applyFont="1" applyFill="1" applyBorder="1" applyAlignment="1" applyProtection="1">
      <alignment vertical="center" wrapText="1"/>
    </xf>
    <xf numFmtId="0" fontId="11" fillId="9" borderId="4" xfId="0" applyFont="1" applyFill="1" applyBorder="1" applyProtection="1"/>
    <xf numFmtId="0" fontId="0" fillId="9" borderId="3" xfId="0" applyFont="1" applyFill="1" applyBorder="1" applyAlignment="1" applyProtection="1">
      <alignment vertical="center" wrapText="1"/>
    </xf>
    <xf numFmtId="0" fontId="12" fillId="9" borderId="0" xfId="0" applyFont="1" applyFill="1" applyBorder="1" applyAlignment="1" applyProtection="1">
      <alignment vertical="center" wrapText="1"/>
    </xf>
    <xf numFmtId="2" fontId="52" fillId="15" borderId="19" xfId="0" applyNumberFormat="1" applyFont="1" applyFill="1" applyBorder="1" applyAlignment="1" applyProtection="1">
      <alignment vertical="center" wrapText="1"/>
    </xf>
    <xf numFmtId="0" fontId="17" fillId="9" borderId="4" xfId="0" applyFont="1" applyFill="1" applyBorder="1" applyAlignment="1" applyProtection="1">
      <alignment vertical="center" wrapText="1"/>
    </xf>
    <xf numFmtId="0" fontId="12" fillId="4" borderId="8" xfId="0" applyFont="1" applyFill="1" applyBorder="1" applyAlignment="1" applyProtection="1">
      <alignment vertical="center" wrapText="1"/>
    </xf>
    <xf numFmtId="0" fontId="5" fillId="4" borderId="8" xfId="0" applyFont="1" applyFill="1" applyBorder="1" applyAlignment="1" applyProtection="1">
      <alignment vertical="center" wrapText="1"/>
    </xf>
    <xf numFmtId="2" fontId="53" fillId="15" borderId="19" xfId="0" applyNumberFormat="1" applyFont="1" applyFill="1" applyBorder="1" applyAlignment="1" applyProtection="1">
      <alignment vertical="center" wrapText="1"/>
    </xf>
    <xf numFmtId="0" fontId="12" fillId="15" borderId="0" xfId="0" applyFont="1" applyFill="1" applyBorder="1" applyAlignment="1" applyProtection="1">
      <alignment vertical="center" wrapText="1"/>
    </xf>
    <xf numFmtId="2" fontId="12" fillId="15" borderId="19" xfId="0" applyNumberFormat="1" applyFont="1" applyFill="1" applyBorder="1" applyAlignment="1" applyProtection="1">
      <alignment vertical="center" wrapText="1"/>
    </xf>
    <xf numFmtId="2" fontId="5" fillId="7" borderId="0" xfId="0" applyNumberFormat="1" applyFont="1" applyFill="1" applyBorder="1" applyAlignment="1" applyProtection="1">
      <alignment vertical="center" wrapText="1"/>
    </xf>
    <xf numFmtId="0" fontId="25" fillId="5" borderId="0" xfId="0" applyFont="1" applyFill="1" applyBorder="1" applyAlignment="1" applyProtection="1">
      <alignment horizontal="left" vertical="top" wrapText="1"/>
    </xf>
    <xf numFmtId="0" fontId="6" fillId="2" borderId="3" xfId="0" applyFont="1" applyFill="1" applyBorder="1" applyAlignment="1" applyProtection="1">
      <alignment horizontal="left" vertical="center" wrapText="1"/>
    </xf>
    <xf numFmtId="0" fontId="0" fillId="2" borderId="3" xfId="0" applyFont="1" applyFill="1" applyBorder="1" applyAlignment="1" applyProtection="1">
      <alignment horizontal="left" vertical="center" wrapText="1"/>
    </xf>
    <xf numFmtId="0" fontId="33" fillId="2" borderId="3" xfId="0" applyFont="1" applyFill="1" applyBorder="1" applyAlignment="1" applyProtection="1">
      <alignment vertical="center" wrapText="1"/>
    </xf>
    <xf numFmtId="0" fontId="0" fillId="2" borderId="3" xfId="0" applyFont="1" applyFill="1" applyBorder="1" applyAlignment="1" applyProtection="1">
      <alignment vertical="center" wrapText="1"/>
    </xf>
    <xf numFmtId="0" fontId="5" fillId="2" borderId="3" xfId="0" applyFont="1" applyFill="1" applyBorder="1" applyAlignment="1" applyProtection="1">
      <alignment vertical="center" wrapText="1"/>
    </xf>
    <xf numFmtId="0" fontId="0" fillId="2" borderId="10" xfId="0" applyFont="1" applyFill="1" applyBorder="1" applyAlignment="1" applyProtection="1">
      <alignment vertical="center" wrapText="1"/>
    </xf>
    <xf numFmtId="2" fontId="54" fillId="5" borderId="21" xfId="0" applyNumberFormat="1" applyFont="1" applyFill="1" applyBorder="1" applyAlignment="1" applyProtection="1">
      <alignment vertical="center" wrapText="1"/>
    </xf>
    <xf numFmtId="0" fontId="0" fillId="5" borderId="5" xfId="0" applyFont="1" applyFill="1" applyBorder="1" applyAlignment="1" applyProtection="1">
      <alignment vertical="center" wrapText="1"/>
    </xf>
    <xf numFmtId="0" fontId="0" fillId="5" borderId="3" xfId="0" applyFont="1" applyFill="1" applyBorder="1" applyAlignment="1" applyProtection="1">
      <alignment vertical="center" wrapText="1"/>
    </xf>
    <xf numFmtId="2" fontId="12" fillId="5" borderId="21" xfId="0" applyNumberFormat="1" applyFont="1" applyFill="1" applyBorder="1" applyAlignment="1" applyProtection="1">
      <alignment horizontal="right" vertical="center" wrapText="1"/>
    </xf>
    <xf numFmtId="0" fontId="6" fillId="7" borderId="3" xfId="0" applyFont="1" applyFill="1" applyBorder="1" applyAlignment="1" applyProtection="1">
      <alignment horizontal="left" vertical="center" wrapText="1"/>
    </xf>
    <xf numFmtId="0" fontId="0" fillId="7" borderId="3" xfId="0" applyFont="1" applyFill="1" applyBorder="1" applyAlignment="1" applyProtection="1">
      <alignment horizontal="left" vertical="center" wrapText="1"/>
    </xf>
    <xf numFmtId="0" fontId="33" fillId="7" borderId="3" xfId="0" applyFont="1" applyFill="1" applyBorder="1" applyAlignment="1" applyProtection="1">
      <alignment vertical="center" wrapText="1"/>
    </xf>
    <xf numFmtId="0" fontId="0" fillId="7" borderId="3" xfId="0" applyFont="1" applyFill="1" applyBorder="1" applyAlignment="1" applyProtection="1">
      <alignment vertical="center" wrapText="1"/>
    </xf>
    <xf numFmtId="0" fontId="5" fillId="7" borderId="3" xfId="0" applyFont="1" applyFill="1" applyBorder="1" applyAlignment="1" applyProtection="1">
      <alignment vertical="center" wrapText="1"/>
    </xf>
    <xf numFmtId="2" fontId="53" fillId="11" borderId="21" xfId="0" applyNumberFormat="1" applyFont="1" applyFill="1" applyBorder="1" applyAlignment="1" applyProtection="1">
      <alignment vertical="center" wrapText="1"/>
    </xf>
    <xf numFmtId="0" fontId="0" fillId="11" borderId="5" xfId="0" applyFont="1" applyFill="1" applyBorder="1" applyAlignment="1" applyProtection="1">
      <alignment vertical="center" wrapText="1"/>
    </xf>
    <xf numFmtId="0" fontId="0" fillId="11" borderId="3" xfId="0" applyFont="1" applyFill="1" applyBorder="1" applyAlignment="1" applyProtection="1">
      <alignment vertical="center" wrapText="1"/>
    </xf>
    <xf numFmtId="2" fontId="12" fillId="11" borderId="21" xfId="0" applyNumberFormat="1" applyFont="1" applyFill="1" applyBorder="1" applyAlignment="1" applyProtection="1">
      <alignment horizontal="right" vertical="center" wrapText="1"/>
    </xf>
    <xf numFmtId="2" fontId="53" fillId="5" borderId="21" xfId="0" applyNumberFormat="1" applyFont="1" applyFill="1" applyBorder="1" applyAlignment="1" applyProtection="1">
      <alignment vertical="center" wrapText="1"/>
    </xf>
    <xf numFmtId="0" fontId="12" fillId="4" borderId="0" xfId="0" applyFont="1" applyFill="1" applyBorder="1" applyAlignment="1" applyProtection="1">
      <alignment vertical="center" wrapText="1"/>
    </xf>
    <xf numFmtId="0" fontId="26" fillId="9" borderId="3" xfId="0" applyFont="1" applyFill="1" applyBorder="1" applyAlignment="1" applyProtection="1">
      <alignment horizontal="left" vertical="center" wrapText="1"/>
    </xf>
    <xf numFmtId="0" fontId="51" fillId="9" borderId="3" xfId="0" applyFont="1" applyFill="1" applyBorder="1" applyAlignment="1" applyProtection="1">
      <alignment vertical="center" wrapText="1"/>
    </xf>
    <xf numFmtId="0" fontId="26" fillId="9" borderId="3" xfId="0" applyFont="1" applyFill="1" applyBorder="1" applyAlignment="1" applyProtection="1">
      <alignment vertical="center" wrapText="1"/>
    </xf>
    <xf numFmtId="0" fontId="27" fillId="9" borderId="3" xfId="0" applyFont="1" applyFill="1" applyBorder="1" applyAlignment="1" applyProtection="1">
      <alignment vertical="center" wrapText="1"/>
    </xf>
    <xf numFmtId="0" fontId="11" fillId="9" borderId="3" xfId="0" applyFont="1" applyFill="1" applyBorder="1" applyProtection="1"/>
    <xf numFmtId="0" fontId="17" fillId="9" borderId="3" xfId="0" applyFont="1" applyFill="1" applyBorder="1" applyAlignment="1" applyProtection="1">
      <alignment vertical="center" wrapText="1"/>
    </xf>
    <xf numFmtId="0" fontId="6" fillId="2" borderId="4" xfId="0" applyFont="1" applyFill="1" applyBorder="1" applyAlignment="1" applyProtection="1">
      <alignment horizontal="left" vertical="center" wrapText="1"/>
    </xf>
    <xf numFmtId="0" fontId="0" fillId="2" borderId="4" xfId="0" applyFont="1" applyFill="1" applyBorder="1" applyAlignment="1" applyProtection="1">
      <alignment horizontal="left" vertical="center" wrapText="1"/>
    </xf>
    <xf numFmtId="0" fontId="33" fillId="2" borderId="4" xfId="0" applyFont="1" applyFill="1" applyBorder="1" applyAlignment="1" applyProtection="1">
      <alignment vertical="center" wrapText="1"/>
    </xf>
    <xf numFmtId="0" fontId="0" fillId="2" borderId="4" xfId="0" applyFont="1" applyFill="1" applyBorder="1" applyAlignment="1" applyProtection="1">
      <alignment vertical="center" wrapText="1"/>
    </xf>
    <xf numFmtId="0" fontId="5" fillId="2" borderId="4" xfId="0" applyFont="1" applyFill="1" applyBorder="1" applyAlignment="1" applyProtection="1">
      <alignment vertical="center" wrapText="1"/>
    </xf>
    <xf numFmtId="0" fontId="55" fillId="2" borderId="4" xfId="0" applyFont="1" applyFill="1" applyBorder="1" applyAlignment="1" applyProtection="1">
      <alignment vertical="center" wrapText="1"/>
    </xf>
    <xf numFmtId="0" fontId="0" fillId="2" borderId="5" xfId="0" applyFont="1" applyFill="1" applyBorder="1" applyAlignment="1" applyProtection="1">
      <alignment vertical="center" wrapText="1"/>
    </xf>
    <xf numFmtId="0" fontId="56" fillId="7" borderId="3" xfId="0" applyFont="1" applyFill="1" applyBorder="1" applyAlignment="1" applyProtection="1">
      <alignment vertical="center" wrapText="1"/>
    </xf>
    <xf numFmtId="0" fontId="0" fillId="7" borderId="5" xfId="0" applyFont="1" applyFill="1" applyBorder="1" applyAlignment="1" applyProtection="1">
      <alignment vertical="center" wrapText="1"/>
    </xf>
    <xf numFmtId="2" fontId="12" fillId="6" borderId="21" xfId="0" applyNumberFormat="1" applyFont="1" applyFill="1" applyBorder="1" applyAlignment="1" applyProtection="1">
      <alignment horizontal="right" vertical="center" wrapText="1"/>
    </xf>
    <xf numFmtId="0" fontId="55" fillId="2" borderId="3" xfId="0" applyFont="1" applyFill="1" applyBorder="1" applyAlignment="1" applyProtection="1">
      <alignment vertical="center" wrapText="1"/>
    </xf>
    <xf numFmtId="2" fontId="33" fillId="6" borderId="21" xfId="0" applyNumberFormat="1" applyFont="1" applyFill="1" applyBorder="1" applyAlignment="1" applyProtection="1">
      <alignment horizontal="center" vertical="center" wrapText="1"/>
      <protection locked="0"/>
    </xf>
    <xf numFmtId="4" fontId="57" fillId="9" borderId="3" xfId="2" applyNumberFormat="1" applyFont="1" applyFill="1" applyBorder="1" applyAlignment="1" applyProtection="1">
      <alignment vertical="center" wrapText="1"/>
    </xf>
    <xf numFmtId="4" fontId="58" fillId="9" borderId="3" xfId="2" applyNumberFormat="1" applyFont="1" applyFill="1" applyBorder="1" applyAlignment="1" applyProtection="1">
      <alignment vertical="center" wrapText="1"/>
    </xf>
    <xf numFmtId="43" fontId="33" fillId="2" borderId="3" xfId="2" applyFont="1" applyFill="1" applyBorder="1" applyAlignment="1" applyProtection="1">
      <alignment vertical="center" wrapText="1"/>
    </xf>
    <xf numFmtId="0" fontId="12" fillId="2" borderId="3" xfId="0" applyFont="1" applyFill="1" applyBorder="1" applyAlignment="1" applyProtection="1">
      <alignment vertical="center" wrapText="1"/>
    </xf>
    <xf numFmtId="0" fontId="12" fillId="7" borderId="3" xfId="0" applyFont="1" applyFill="1" applyBorder="1" applyAlignment="1" applyProtection="1">
      <alignment vertical="center" wrapText="1"/>
    </xf>
    <xf numFmtId="0" fontId="12" fillId="3" borderId="8" xfId="0" applyFont="1" applyFill="1" applyBorder="1" applyAlignment="1" applyProtection="1">
      <alignment vertical="center" wrapText="1"/>
    </xf>
    <xf numFmtId="0" fontId="59" fillId="3" borderId="8" xfId="0" applyFont="1" applyFill="1" applyBorder="1" applyAlignment="1" applyProtection="1">
      <alignment vertical="center" wrapText="1"/>
    </xf>
    <xf numFmtId="0" fontId="12" fillId="3" borderId="0" xfId="0" applyFont="1" applyFill="1" applyBorder="1" applyAlignment="1" applyProtection="1">
      <alignment vertical="center" wrapText="1"/>
    </xf>
    <xf numFmtId="2" fontId="12" fillId="3" borderId="19" xfId="0" applyNumberFormat="1" applyFont="1" applyFill="1" applyBorder="1" applyAlignment="1" applyProtection="1">
      <alignment vertical="center" wrapText="1"/>
    </xf>
    <xf numFmtId="2" fontId="5" fillId="3" borderId="0" xfId="0" applyNumberFormat="1" applyFont="1" applyFill="1" applyBorder="1" applyAlignment="1" applyProtection="1">
      <alignment vertical="center" wrapText="1"/>
    </xf>
    <xf numFmtId="0" fontId="5" fillId="4" borderId="0" xfId="0" applyFont="1" applyFill="1" applyBorder="1" applyAlignment="1" applyProtection="1">
      <alignment horizontal="left" vertical="center" wrapText="1"/>
    </xf>
    <xf numFmtId="0" fontId="12" fillId="4" borderId="8" xfId="0" applyFont="1" applyFill="1" applyBorder="1" applyAlignment="1" applyProtection="1">
      <alignment horizontal="left" vertical="center" wrapText="1"/>
    </xf>
    <xf numFmtId="9" fontId="0" fillId="2" borderId="3" xfId="1" applyFont="1" applyFill="1" applyBorder="1" applyAlignment="1" applyProtection="1">
      <alignment vertical="center" wrapText="1"/>
    </xf>
    <xf numFmtId="9" fontId="0" fillId="7" borderId="3" xfId="1" applyFont="1" applyFill="1" applyBorder="1" applyAlignment="1" applyProtection="1">
      <alignment vertical="center" wrapText="1"/>
    </xf>
    <xf numFmtId="0" fontId="5" fillId="3" borderId="8" xfId="0" applyFont="1" applyFill="1" applyBorder="1" applyAlignment="1" applyProtection="1">
      <alignment vertical="center" wrapText="1"/>
    </xf>
    <xf numFmtId="2" fontId="0" fillId="3" borderId="19" xfId="0" applyNumberFormat="1" applyFont="1" applyFill="1" applyBorder="1" applyAlignment="1" applyProtection="1">
      <alignment vertical="center" wrapText="1"/>
    </xf>
    <xf numFmtId="0" fontId="46" fillId="9" borderId="3" xfId="0" applyFont="1" applyFill="1" applyBorder="1" applyProtection="1"/>
    <xf numFmtId="2" fontId="52" fillId="7" borderId="19" xfId="0" applyNumberFormat="1" applyFont="1" applyFill="1" applyBorder="1" applyAlignment="1" applyProtection="1">
      <alignment vertical="center" wrapText="1"/>
    </xf>
    <xf numFmtId="0" fontId="5" fillId="8" borderId="0" xfId="0" applyFont="1" applyFill="1" applyBorder="1" applyAlignment="1" applyProtection="1">
      <alignment horizontal="center" vertical="center" wrapText="1"/>
    </xf>
    <xf numFmtId="0" fontId="0" fillId="0" borderId="0" xfId="0" applyFont="1" applyAlignment="1" applyProtection="1">
      <alignment horizontal="left"/>
    </xf>
    <xf numFmtId="0" fontId="5" fillId="0" borderId="0" xfId="0" applyFont="1" applyAlignment="1" applyProtection="1">
      <alignment horizontal="left"/>
    </xf>
    <xf numFmtId="0" fontId="12" fillId="10" borderId="40" xfId="0" applyFont="1" applyFill="1" applyBorder="1" applyAlignment="1" applyProtection="1">
      <alignment horizontal="left" vertical="center" wrapText="1"/>
    </xf>
    <xf numFmtId="0" fontId="59" fillId="10" borderId="37" xfId="0" applyFont="1" applyFill="1" applyBorder="1" applyAlignment="1" applyProtection="1">
      <alignment vertical="center" wrapText="1"/>
    </xf>
    <xf numFmtId="0" fontId="12" fillId="10" borderId="37" xfId="0" applyFont="1" applyFill="1" applyBorder="1" applyAlignment="1" applyProtection="1">
      <alignment vertical="center" wrapText="1"/>
    </xf>
    <xf numFmtId="0" fontId="12" fillId="10" borderId="38" xfId="0" applyFont="1" applyFill="1" applyBorder="1" applyAlignment="1" applyProtection="1">
      <alignment horizontal="center" vertical="center" wrapText="1"/>
    </xf>
    <xf numFmtId="0" fontId="0" fillId="5" borderId="41" xfId="0" applyFont="1" applyFill="1" applyBorder="1" applyAlignment="1" applyProtection="1">
      <alignment horizontal="center" vertical="center" wrapText="1"/>
    </xf>
    <xf numFmtId="0" fontId="0" fillId="0" borderId="18" xfId="0" applyFont="1" applyBorder="1" applyAlignment="1" applyProtection="1">
      <alignment vertical="center" wrapText="1"/>
    </xf>
    <xf numFmtId="0" fontId="0" fillId="0" borderId="39" xfId="0" applyFont="1" applyBorder="1" applyAlignment="1" applyProtection="1">
      <alignment horizontal="center" vertical="center" wrapText="1"/>
      <protection locked="0"/>
    </xf>
    <xf numFmtId="0" fontId="0" fillId="11" borderId="41" xfId="0" applyFont="1" applyFill="1" applyBorder="1" applyAlignment="1" applyProtection="1">
      <alignment horizontal="center" vertical="center" wrapText="1"/>
    </xf>
    <xf numFmtId="0" fontId="0" fillId="0" borderId="42" xfId="0" applyFont="1" applyBorder="1" applyAlignment="1" applyProtection="1">
      <alignment vertical="center" wrapText="1"/>
    </xf>
    <xf numFmtId="0" fontId="0" fillId="0" borderId="43" xfId="0" applyFont="1" applyBorder="1" applyAlignment="1" applyProtection="1">
      <alignment horizontal="center" vertical="center" wrapText="1"/>
      <protection locked="0"/>
    </xf>
    <xf numFmtId="0" fontId="33" fillId="0" borderId="0" xfId="0" applyFont="1" applyAlignment="1" applyProtection="1">
      <alignment horizontal="left"/>
    </xf>
    <xf numFmtId="0" fontId="12" fillId="10" borderId="36" xfId="0" applyFont="1" applyFill="1" applyBorder="1" applyAlignment="1" applyProtection="1">
      <alignment horizontal="center" vertical="center"/>
    </xf>
    <xf numFmtId="0" fontId="59" fillId="10" borderId="30" xfId="0" applyFont="1" applyFill="1" applyBorder="1" applyAlignment="1" applyProtection="1">
      <alignment vertical="center"/>
    </xf>
    <xf numFmtId="0" fontId="7" fillId="10" borderId="37" xfId="0" applyFont="1" applyFill="1" applyBorder="1" applyAlignment="1" applyProtection="1">
      <alignment vertical="center" wrapText="1"/>
    </xf>
    <xf numFmtId="0" fontId="7" fillId="10" borderId="38" xfId="0" applyFont="1" applyFill="1" applyBorder="1" applyAlignment="1" applyProtection="1">
      <alignment horizontal="center" vertical="center" wrapText="1"/>
    </xf>
    <xf numFmtId="0" fontId="6" fillId="0" borderId="18" xfId="0" applyFont="1" applyBorder="1" applyAlignment="1" applyProtection="1">
      <alignment vertical="center" wrapText="1"/>
    </xf>
    <xf numFmtId="0" fontId="6" fillId="0" borderId="42" xfId="0" applyFont="1" applyBorder="1" applyAlignment="1" applyProtection="1">
      <alignment vertical="center" wrapText="1"/>
    </xf>
    <xf numFmtId="4" fontId="31" fillId="0" borderId="0" xfId="0" applyNumberFormat="1" applyFont="1" applyProtection="1"/>
    <xf numFmtId="0" fontId="11" fillId="0" borderId="0" xfId="0" applyFont="1" applyProtection="1"/>
    <xf numFmtId="0" fontId="63" fillId="0" borderId="0" xfId="0" applyFont="1" applyAlignment="1" applyProtection="1">
      <alignment horizontal="center"/>
    </xf>
    <xf numFmtId="0" fontId="0" fillId="6" borderId="30" xfId="0" applyFont="1" applyFill="1" applyBorder="1" applyProtection="1"/>
    <xf numFmtId="0" fontId="0" fillId="6" borderId="32" xfId="0" applyFont="1" applyFill="1" applyBorder="1" applyAlignment="1" applyProtection="1">
      <alignment vertical="center"/>
    </xf>
    <xf numFmtId="0" fontId="13" fillId="0" borderId="0" xfId="0" applyFont="1" applyAlignment="1" applyProtection="1">
      <alignment vertical="center"/>
    </xf>
    <xf numFmtId="0" fontId="11" fillId="0" borderId="0" xfId="0" applyFont="1" applyAlignment="1" applyProtection="1">
      <alignment vertical="center"/>
    </xf>
    <xf numFmtId="0" fontId="63" fillId="0" borderId="0" xfId="0" applyFont="1" applyAlignment="1" applyProtection="1">
      <alignment horizontal="center" vertical="center"/>
    </xf>
    <xf numFmtId="0" fontId="0" fillId="0" borderId="0" xfId="0" applyFont="1" applyAlignment="1">
      <alignment vertical="center"/>
    </xf>
    <xf numFmtId="0" fontId="0" fillId="6" borderId="32" xfId="0" applyFont="1" applyFill="1" applyBorder="1" applyProtection="1"/>
    <xf numFmtId="0" fontId="0" fillId="0" borderId="35" xfId="0" applyFont="1" applyBorder="1" applyProtection="1"/>
    <xf numFmtId="4" fontId="64" fillId="7" borderId="19" xfId="0" applyNumberFormat="1" applyFont="1" applyFill="1" applyBorder="1" applyAlignment="1" applyProtection="1">
      <alignment vertical="center" wrapText="1"/>
    </xf>
    <xf numFmtId="10" fontId="33" fillId="6" borderId="21" xfId="0" applyNumberFormat="1" applyFont="1" applyFill="1" applyBorder="1" applyAlignment="1" applyProtection="1">
      <alignment vertical="center" wrapText="1"/>
      <protection locked="0"/>
    </xf>
    <xf numFmtId="4" fontId="65" fillId="7" borderId="19" xfId="0" applyNumberFormat="1" applyFont="1" applyFill="1" applyBorder="1" applyAlignment="1" applyProtection="1">
      <alignment vertical="center" wrapText="1"/>
    </xf>
    <xf numFmtId="0" fontId="21" fillId="10" borderId="11" xfId="0" applyFont="1" applyFill="1" applyBorder="1" applyAlignment="1" applyProtection="1">
      <alignment horizontal="center"/>
    </xf>
    <xf numFmtId="0" fontId="18" fillId="6" borderId="11" xfId="0" applyFont="1" applyFill="1" applyBorder="1" applyAlignment="1" applyProtection="1">
      <alignment horizontal="left" vertical="center" wrapText="1"/>
      <protection locked="0"/>
    </xf>
    <xf numFmtId="0" fontId="23" fillId="10" borderId="25" xfId="0" applyFont="1" applyFill="1" applyBorder="1" applyAlignment="1" applyProtection="1">
      <alignment vertical="top"/>
    </xf>
    <xf numFmtId="4" fontId="19" fillId="10" borderId="12" xfId="0" applyNumberFormat="1" applyFont="1" applyFill="1" applyBorder="1" applyAlignment="1" applyProtection="1"/>
    <xf numFmtId="10" fontId="20" fillId="10" borderId="11" xfId="0" applyNumberFormat="1" applyFont="1" applyFill="1" applyBorder="1" applyAlignment="1" applyProtection="1">
      <alignment horizontal="center"/>
    </xf>
    <xf numFmtId="0" fontId="22" fillId="10" borderId="11" xfId="0" applyFont="1" applyFill="1" applyBorder="1" applyAlignment="1" applyProtection="1">
      <alignment vertical="top"/>
    </xf>
    <xf numFmtId="0" fontId="23" fillId="10" borderId="11" xfId="0" applyFont="1" applyFill="1" applyBorder="1" applyAlignment="1" applyProtection="1">
      <alignment vertical="top"/>
    </xf>
    <xf numFmtId="0" fontId="17" fillId="10" borderId="11" xfId="0" applyFont="1" applyFill="1" applyBorder="1" applyAlignment="1" applyProtection="1">
      <alignment horizontal="left"/>
    </xf>
    <xf numFmtId="0" fontId="17" fillId="10" borderId="11" xfId="0" applyFont="1" applyFill="1" applyBorder="1" applyAlignment="1" applyProtection="1">
      <alignment horizontal="center" wrapText="1"/>
    </xf>
    <xf numFmtId="0" fontId="40" fillId="10" borderId="11" xfId="0" applyFont="1" applyFill="1" applyBorder="1" applyProtection="1"/>
    <xf numFmtId="0" fontId="43" fillId="10" borderId="11" xfId="0" applyFont="1" applyFill="1" applyBorder="1" applyProtection="1"/>
    <xf numFmtId="0" fontId="43" fillId="10" borderId="11" xfId="0" applyFont="1" applyFill="1" applyBorder="1" applyAlignment="1" applyProtection="1">
      <alignment horizontal="center"/>
    </xf>
    <xf numFmtId="0" fontId="44" fillId="7" borderId="11" xfId="0" applyFont="1" applyFill="1" applyBorder="1" applyAlignment="1" applyProtection="1">
      <alignment horizontal="center"/>
    </xf>
    <xf numFmtId="0" fontId="27" fillId="10" borderId="11" xfId="0" applyFont="1" applyFill="1" applyBorder="1" applyAlignment="1" applyProtection="1">
      <alignment horizontal="center" vertical="center"/>
    </xf>
    <xf numFmtId="43" fontId="18" fillId="10" borderId="11" xfId="2" applyFont="1" applyFill="1" applyBorder="1" applyAlignment="1" applyProtection="1">
      <alignment horizontal="center" vertical="center"/>
    </xf>
    <xf numFmtId="0" fontId="50" fillId="10" borderId="11" xfId="0" applyFont="1" applyFill="1" applyBorder="1" applyProtection="1"/>
    <xf numFmtId="0" fontId="66" fillId="6" borderId="27" xfId="0" applyFont="1" applyFill="1" applyBorder="1" applyAlignment="1" applyProtection="1">
      <alignment horizontal="left"/>
    </xf>
    <xf numFmtId="0" fontId="66" fillId="0" borderId="0" xfId="0" applyFont="1" applyProtection="1"/>
    <xf numFmtId="4" fontId="66" fillId="9" borderId="0" xfId="0" applyNumberFormat="1" applyFont="1" applyFill="1" applyBorder="1" applyAlignment="1">
      <alignment horizontal="left"/>
    </xf>
    <xf numFmtId="0" fontId="66" fillId="0" borderId="0" xfId="0" applyFont="1" applyBorder="1" applyAlignment="1" applyProtection="1">
      <alignment horizontal="left" vertical="center" wrapText="1"/>
    </xf>
    <xf numFmtId="0" fontId="66" fillId="11" borderId="0" xfId="0" applyFont="1" applyFill="1" applyBorder="1" applyAlignment="1">
      <alignment horizontal="left"/>
    </xf>
    <xf numFmtId="0" fontId="66" fillId="6" borderId="0" xfId="0" applyFont="1" applyFill="1" applyBorder="1" applyAlignment="1">
      <alignment horizontal="left"/>
    </xf>
    <xf numFmtId="0" fontId="66" fillId="6" borderId="0" xfId="0" applyFont="1" applyFill="1" applyAlignment="1" applyProtection="1">
      <alignment horizontal="left"/>
    </xf>
    <xf numFmtId="0" fontId="66" fillId="6" borderId="0" xfId="0" applyFont="1" applyFill="1" applyBorder="1" applyAlignment="1" applyProtection="1">
      <alignment horizontal="left" wrapText="1"/>
    </xf>
    <xf numFmtId="0" fontId="66" fillId="6" borderId="0" xfId="0" applyFont="1" applyFill="1" applyBorder="1" applyAlignment="1" applyProtection="1">
      <alignment horizontal="left" vertical="center" wrapText="1"/>
    </xf>
    <xf numFmtId="0" fontId="66" fillId="13" borderId="0" xfId="0" applyFont="1" applyFill="1" applyAlignment="1" applyProtection="1">
      <alignment horizontal="left"/>
    </xf>
    <xf numFmtId="0" fontId="66" fillId="6" borderId="0" xfId="0" applyFont="1" applyFill="1" applyAlignment="1">
      <alignment horizontal="left"/>
    </xf>
    <xf numFmtId="0" fontId="66" fillId="0" borderId="0" xfId="0" applyFont="1" applyAlignment="1">
      <alignment horizontal="left"/>
    </xf>
    <xf numFmtId="0" fontId="66" fillId="0" borderId="0" xfId="0" applyFont="1" applyAlignment="1" applyProtection="1">
      <alignment horizontal="left"/>
    </xf>
    <xf numFmtId="0" fontId="66" fillId="6" borderId="28" xfId="0" applyFont="1" applyFill="1" applyBorder="1" applyAlignment="1" applyProtection="1">
      <alignment horizontal="left" wrapText="1"/>
    </xf>
    <xf numFmtId="0" fontId="66" fillId="6" borderId="31" xfId="0" applyFont="1" applyFill="1" applyBorder="1" applyAlignment="1" applyProtection="1">
      <alignment horizontal="left" vertical="center" wrapText="1"/>
    </xf>
    <xf numFmtId="0" fontId="66" fillId="6" borderId="31" xfId="0" applyFont="1" applyFill="1" applyBorder="1" applyAlignment="1" applyProtection="1">
      <alignment horizontal="left" wrapText="1"/>
    </xf>
    <xf numFmtId="0" fontId="66" fillId="0" borderId="33" xfId="0" applyFont="1" applyBorder="1" applyAlignment="1" applyProtection="1">
      <alignment horizontal="left" wrapText="1"/>
    </xf>
    <xf numFmtId="0" fontId="66" fillId="0" borderId="0" xfId="0" applyFont="1" applyAlignment="1" applyProtection="1">
      <alignment horizontal="left"/>
      <protection locked="0"/>
    </xf>
    <xf numFmtId="0" fontId="67" fillId="0" borderId="0" xfId="0" applyFont="1" applyBorder="1" applyAlignment="1" applyProtection="1">
      <alignment horizontal="left" vertical="center" wrapText="1"/>
    </xf>
    <xf numFmtId="0" fontId="66" fillId="13" borderId="0" xfId="0" applyFont="1" applyFill="1" applyProtection="1"/>
    <xf numFmtId="0" fontId="66" fillId="13" borderId="0" xfId="0" applyFont="1" applyFill="1" applyBorder="1" applyAlignment="1" applyProtection="1">
      <alignment horizontal="left"/>
    </xf>
    <xf numFmtId="0" fontId="67" fillId="13" borderId="3" xfId="0" applyFont="1" applyFill="1" applyBorder="1" applyAlignment="1" applyProtection="1">
      <alignment horizontal="left" vertical="center" wrapText="1"/>
    </xf>
    <xf numFmtId="0" fontId="68" fillId="13" borderId="4" xfId="0" applyFont="1" applyFill="1" applyBorder="1" applyAlignment="1" applyProtection="1">
      <alignment horizontal="left" vertical="center" wrapText="1"/>
    </xf>
    <xf numFmtId="0" fontId="66" fillId="4" borderId="0" xfId="0" applyFont="1" applyFill="1" applyProtection="1"/>
    <xf numFmtId="0" fontId="66" fillId="5" borderId="0" xfId="0" applyFont="1" applyFill="1" applyProtection="1"/>
    <xf numFmtId="0" fontId="66" fillId="2" borderId="3" xfId="0" applyFont="1" applyFill="1" applyBorder="1" applyAlignment="1" applyProtection="1">
      <alignment horizontal="left" vertical="center" wrapText="1"/>
    </xf>
    <xf numFmtId="0" fontId="66" fillId="7" borderId="3" xfId="0" applyFont="1" applyFill="1" applyBorder="1" applyAlignment="1" applyProtection="1">
      <alignment horizontal="left" vertical="center" wrapText="1"/>
    </xf>
    <xf numFmtId="0" fontId="68" fillId="9" borderId="3" xfId="0" applyFont="1" applyFill="1" applyBorder="1" applyAlignment="1" applyProtection="1">
      <alignment horizontal="left" vertical="center" wrapText="1"/>
    </xf>
    <xf numFmtId="0" fontId="66" fillId="2" borderId="4" xfId="0" applyFont="1" applyFill="1" applyBorder="1" applyAlignment="1" applyProtection="1">
      <alignment horizontal="left" vertical="center" wrapText="1"/>
    </xf>
    <xf numFmtId="0" fontId="68" fillId="13" borderId="3" xfId="0" applyFont="1" applyFill="1" applyBorder="1" applyAlignment="1" applyProtection="1">
      <alignment horizontal="left" vertical="center" wrapText="1"/>
    </xf>
    <xf numFmtId="0" fontId="68" fillId="9" borderId="10" xfId="0" applyFont="1" applyFill="1" applyBorder="1" applyAlignment="1" applyProtection="1">
      <alignment horizontal="left" vertical="center" wrapText="1"/>
    </xf>
    <xf numFmtId="0" fontId="66" fillId="0" borderId="16" xfId="0" applyFont="1" applyBorder="1" applyAlignment="1" applyProtection="1">
      <alignment horizontal="left" vertical="center" wrapText="1"/>
    </xf>
    <xf numFmtId="0" fontId="66" fillId="0" borderId="0" xfId="0" applyFont="1" applyAlignment="1" applyProtection="1">
      <alignment horizontal="left" vertical="center"/>
    </xf>
    <xf numFmtId="0" fontId="67" fillId="13" borderId="10" xfId="0" applyFont="1" applyFill="1" applyBorder="1" applyAlignment="1" applyProtection="1">
      <alignment horizontal="left" vertical="center" wrapText="1"/>
    </xf>
    <xf numFmtId="0" fontId="46" fillId="14" borderId="4" xfId="0" applyFont="1" applyFill="1" applyBorder="1" applyAlignment="1" applyProtection="1">
      <alignment horizontal="left" vertical="center" wrapText="1"/>
    </xf>
    <xf numFmtId="0" fontId="46" fillId="14" borderId="4" xfId="0" applyFont="1" applyFill="1" applyBorder="1" applyAlignment="1" applyProtection="1">
      <alignment vertical="center" wrapText="1"/>
    </xf>
    <xf numFmtId="4" fontId="69" fillId="7" borderId="19" xfId="0" applyNumberFormat="1" applyFont="1" applyFill="1" applyBorder="1" applyAlignment="1" applyProtection="1">
      <alignment vertical="center" wrapText="1"/>
    </xf>
    <xf numFmtId="2" fontId="70" fillId="5" borderId="19" xfId="0" applyNumberFormat="1" applyFont="1" applyFill="1" applyBorder="1" applyAlignment="1" applyProtection="1">
      <alignment vertical="center" wrapText="1"/>
    </xf>
    <xf numFmtId="2" fontId="70" fillId="5" borderId="0" xfId="0" applyNumberFormat="1" applyFont="1" applyFill="1" applyBorder="1" applyAlignment="1" applyProtection="1">
      <alignment vertical="center" wrapText="1"/>
    </xf>
    <xf numFmtId="10" fontId="70" fillId="5" borderId="0" xfId="1" applyNumberFormat="1" applyFont="1" applyFill="1" applyBorder="1" applyAlignment="1" applyProtection="1">
      <alignment vertical="center" wrapText="1"/>
    </xf>
    <xf numFmtId="4" fontId="6" fillId="7" borderId="3" xfId="0" applyNumberFormat="1" applyFont="1" applyFill="1" applyBorder="1" applyAlignment="1" applyProtection="1">
      <alignment vertical="center" wrapText="1"/>
      <protection locked="0"/>
    </xf>
    <xf numFmtId="4" fontId="6" fillId="2" borderId="4" xfId="0" applyNumberFormat="1" applyFont="1" applyFill="1" applyBorder="1" applyAlignment="1" applyProtection="1">
      <alignment vertical="center" wrapText="1"/>
      <protection locked="0"/>
    </xf>
    <xf numFmtId="10" fontId="20" fillId="7" borderId="4" xfId="0" applyNumberFormat="1" applyFont="1" applyFill="1" applyBorder="1" applyAlignment="1" applyProtection="1">
      <alignment horizontal="right"/>
    </xf>
    <xf numFmtId="10" fontId="20" fillId="2" borderId="56" xfId="0" applyNumberFormat="1" applyFont="1" applyFill="1" applyBorder="1" applyAlignment="1" applyProtection="1">
      <alignment horizontal="right"/>
    </xf>
    <xf numFmtId="4" fontId="7" fillId="2" borderId="4" xfId="0" applyNumberFormat="1" applyFont="1" applyFill="1" applyBorder="1" applyAlignment="1" applyProtection="1">
      <alignment vertical="center" wrapText="1"/>
      <protection locked="0"/>
    </xf>
    <xf numFmtId="10" fontId="71" fillId="2" borderId="56" xfId="0" applyNumberFormat="1" applyFont="1" applyFill="1" applyBorder="1" applyAlignment="1" applyProtection="1">
      <alignment horizontal="right"/>
    </xf>
    <xf numFmtId="4" fontId="7" fillId="7" borderId="3" xfId="0" applyNumberFormat="1" applyFont="1" applyFill="1" applyBorder="1" applyAlignment="1" applyProtection="1">
      <alignment vertical="center" wrapText="1"/>
      <protection locked="0"/>
    </xf>
    <xf numFmtId="10" fontId="71" fillId="7" borderId="4" xfId="0" applyNumberFormat="1" applyFont="1" applyFill="1" applyBorder="1" applyAlignment="1" applyProtection="1">
      <alignment horizontal="right"/>
    </xf>
    <xf numFmtId="4" fontId="54" fillId="7" borderId="53" xfId="0" applyNumberFormat="1" applyFont="1" applyFill="1" applyBorder="1" applyAlignment="1" applyProtection="1">
      <alignment vertical="center" wrapText="1"/>
    </xf>
    <xf numFmtId="4" fontId="30" fillId="6" borderId="21" xfId="0" applyNumberFormat="1" applyFont="1" applyFill="1" applyBorder="1" applyAlignment="1" applyProtection="1">
      <alignment vertical="center" wrapText="1"/>
    </xf>
    <xf numFmtId="4" fontId="72" fillId="6" borderId="21" xfId="0" applyNumberFormat="1" applyFont="1" applyFill="1" applyBorder="1" applyAlignment="1" applyProtection="1">
      <alignment vertical="center" wrapText="1"/>
      <protection locked="0"/>
    </xf>
    <xf numFmtId="4" fontId="73" fillId="7" borderId="53" xfId="0" applyNumberFormat="1" applyFont="1" applyFill="1" applyBorder="1" applyAlignment="1" applyProtection="1">
      <alignment vertical="center" wrapText="1"/>
    </xf>
    <xf numFmtId="4" fontId="10" fillId="9" borderId="19" xfId="0" applyNumberFormat="1" applyFont="1" applyFill="1" applyBorder="1" applyAlignment="1" applyProtection="1">
      <alignment vertical="center" wrapText="1"/>
    </xf>
    <xf numFmtId="10" fontId="74" fillId="9" borderId="19" xfId="1" applyNumberFormat="1" applyFont="1" applyFill="1" applyBorder="1" applyAlignment="1" applyProtection="1">
      <alignment vertical="center" wrapText="1"/>
    </xf>
    <xf numFmtId="0" fontId="21" fillId="10" borderId="11" xfId="0" applyFont="1" applyFill="1" applyBorder="1" applyAlignment="1" applyProtection="1">
      <alignment horizontal="center"/>
    </xf>
    <xf numFmtId="0" fontId="40" fillId="10" borderId="11" xfId="0" applyFont="1" applyFill="1" applyBorder="1" applyAlignment="1" applyProtection="1">
      <alignment horizontal="center"/>
    </xf>
    <xf numFmtId="4" fontId="10" fillId="9" borderId="0" xfId="0" applyNumberFormat="1" applyFont="1" applyFill="1" applyAlignment="1">
      <alignment horizontal="center"/>
    </xf>
    <xf numFmtId="1" fontId="26" fillId="4" borderId="50" xfId="0" applyNumberFormat="1" applyFont="1" applyFill="1" applyBorder="1" applyAlignment="1" applyProtection="1">
      <protection locked="0"/>
    </xf>
    <xf numFmtId="0" fontId="40" fillId="10" borderId="11" xfId="0" applyFont="1" applyFill="1" applyBorder="1" applyAlignment="1" applyProtection="1">
      <alignment horizontal="left"/>
    </xf>
    <xf numFmtId="0" fontId="17" fillId="10" borderId="13" xfId="0" applyFont="1" applyFill="1" applyBorder="1" applyAlignment="1" applyProtection="1">
      <alignment horizontal="left"/>
    </xf>
    <xf numFmtId="0" fontId="17" fillId="10" borderId="14" xfId="0" applyFont="1" applyFill="1" applyBorder="1" applyAlignment="1" applyProtection="1">
      <alignment horizontal="left"/>
    </xf>
    <xf numFmtId="0" fontId="21" fillId="10" borderId="24" xfId="0" applyFont="1" applyFill="1" applyBorder="1" applyAlignment="1" applyProtection="1">
      <alignment horizontal="center"/>
    </xf>
    <xf numFmtId="0" fontId="41" fillId="10" borderId="24" xfId="0" applyFont="1" applyFill="1" applyBorder="1" applyAlignment="1" applyProtection="1">
      <alignment horizontal="left" vertical="center" wrapText="1"/>
    </xf>
    <xf numFmtId="0" fontId="75" fillId="10" borderId="25" xfId="0" applyFont="1" applyFill="1" applyBorder="1" applyAlignment="1" applyProtection="1">
      <alignment horizontal="left" vertical="center" wrapText="1"/>
    </xf>
    <xf numFmtId="0" fontId="40" fillId="10" borderId="24" xfId="0" applyFont="1" applyFill="1" applyBorder="1" applyAlignment="1" applyProtection="1">
      <alignment vertical="top"/>
    </xf>
    <xf numFmtId="0" fontId="40" fillId="10" borderId="14" xfId="0" applyFont="1" applyFill="1" applyBorder="1" applyAlignment="1" applyProtection="1">
      <alignment vertical="top"/>
    </xf>
    <xf numFmtId="0" fontId="40" fillId="10" borderId="11" xfId="0" applyFont="1" applyFill="1" applyBorder="1" applyAlignment="1" applyProtection="1">
      <alignment vertical="top"/>
    </xf>
    <xf numFmtId="4" fontId="66" fillId="16" borderId="0" xfId="0" applyNumberFormat="1" applyFont="1" applyFill="1" applyBorder="1" applyAlignment="1">
      <alignment horizontal="left"/>
    </xf>
    <xf numFmtId="4" fontId="26" fillId="16" borderId="0" xfId="0" applyNumberFormat="1" applyFont="1" applyFill="1" applyBorder="1" applyAlignment="1">
      <alignment horizontal="left"/>
    </xf>
    <xf numFmtId="4" fontId="26" fillId="16" borderId="0" xfId="0" applyNumberFormat="1" applyFont="1" applyFill="1" applyBorder="1" applyAlignment="1">
      <alignment horizontal="center"/>
    </xf>
    <xf numFmtId="1" fontId="26" fillId="16" borderId="0" xfId="0" applyNumberFormat="1" applyFont="1" applyFill="1" applyBorder="1" applyAlignment="1" applyProtection="1">
      <alignment horizontal="center"/>
      <protection locked="0"/>
    </xf>
    <xf numFmtId="10" fontId="28" fillId="16" borderId="0" xfId="0" applyNumberFormat="1" applyFont="1" applyFill="1" applyBorder="1" applyAlignment="1" applyProtection="1">
      <alignment horizontal="center"/>
    </xf>
    <xf numFmtId="0" fontId="12" fillId="0" borderId="0" xfId="0" applyFont="1" applyAlignment="1" applyProtection="1">
      <alignment horizontal="left"/>
    </xf>
    <xf numFmtId="2" fontId="76" fillId="0" borderId="0" xfId="2" applyNumberFormat="1" applyFont="1" applyAlignment="1" applyProtection="1">
      <alignment horizontal="left" vertical="center" wrapText="1"/>
    </xf>
    <xf numFmtId="0" fontId="21" fillId="10" borderId="11" xfId="0" applyFont="1" applyFill="1" applyBorder="1" applyAlignment="1" applyProtection="1">
      <alignment horizontal="center"/>
    </xf>
    <xf numFmtId="9" fontId="34" fillId="6" borderId="0" xfId="0" applyNumberFormat="1" applyFont="1" applyFill="1" applyProtection="1"/>
    <xf numFmtId="4" fontId="31" fillId="6" borderId="29" xfId="0" applyNumberFormat="1" applyFont="1" applyFill="1" applyBorder="1" applyProtection="1"/>
    <xf numFmtId="4" fontId="31" fillId="6" borderId="30" xfId="0" applyNumberFormat="1" applyFont="1" applyFill="1" applyBorder="1" applyProtection="1"/>
    <xf numFmtId="4" fontId="31" fillId="6" borderId="0" xfId="0" applyNumberFormat="1" applyFont="1" applyFill="1" applyBorder="1" applyProtection="1"/>
    <xf numFmtId="4" fontId="31" fillId="6" borderId="0" xfId="0" applyNumberFormat="1" applyFont="1" applyFill="1" applyBorder="1" applyAlignment="1" applyProtection="1">
      <alignment vertical="center"/>
    </xf>
    <xf numFmtId="4" fontId="31" fillId="6" borderId="32" xfId="0" applyNumberFormat="1" applyFont="1" applyFill="1" applyBorder="1" applyAlignment="1" applyProtection="1">
      <alignment vertical="center"/>
    </xf>
    <xf numFmtId="9" fontId="34" fillId="6" borderId="0" xfId="0" applyNumberFormat="1" applyFont="1" applyFill="1" applyAlignment="1" applyProtection="1">
      <alignment vertical="center"/>
    </xf>
    <xf numFmtId="4" fontId="31" fillId="6" borderId="32" xfId="0" applyNumberFormat="1" applyFont="1" applyFill="1" applyBorder="1" applyProtection="1"/>
    <xf numFmtId="0" fontId="33" fillId="6" borderId="34" xfId="0" applyFont="1" applyFill="1" applyBorder="1" applyProtection="1"/>
    <xf numFmtId="4" fontId="31" fillId="6" borderId="34" xfId="0" applyNumberFormat="1" applyFont="1" applyFill="1" applyBorder="1" applyProtection="1"/>
    <xf numFmtId="4" fontId="31" fillId="6" borderId="35" xfId="0" applyNumberFormat="1" applyFont="1" applyFill="1" applyBorder="1" applyProtection="1"/>
    <xf numFmtId="9" fontId="34" fillId="6" borderId="0" xfId="0" applyNumberFormat="1" applyFont="1" applyFill="1"/>
    <xf numFmtId="9" fontId="20" fillId="10" borderId="11" xfId="0" applyNumberFormat="1" applyFont="1" applyFill="1" applyBorder="1" applyAlignment="1" applyProtection="1">
      <alignment horizontal="center"/>
    </xf>
    <xf numFmtId="9" fontId="23" fillId="10" borderId="11" xfId="0" applyNumberFormat="1" applyFont="1" applyFill="1" applyBorder="1" applyAlignment="1" applyProtection="1">
      <alignment vertical="top"/>
    </xf>
    <xf numFmtId="0" fontId="17" fillId="10" borderId="11" xfId="0" applyFont="1" applyFill="1" applyBorder="1" applyAlignment="1" applyProtection="1">
      <alignment horizontal="center"/>
    </xf>
    <xf numFmtId="0" fontId="40" fillId="10" borderId="11" xfId="0" applyFont="1" applyFill="1" applyBorder="1" applyAlignment="1" applyProtection="1">
      <alignment vertical="center"/>
    </xf>
    <xf numFmtId="2" fontId="33" fillId="6" borderId="11" xfId="0" applyNumberFormat="1" applyFont="1" applyFill="1" applyBorder="1" applyAlignment="1" applyProtection="1">
      <alignment horizontal="center" vertical="center" wrapText="1"/>
      <protection locked="0"/>
    </xf>
    <xf numFmtId="0" fontId="10" fillId="9" borderId="52" xfId="0" applyFont="1" applyFill="1" applyBorder="1" applyAlignment="1" applyProtection="1">
      <alignment horizontal="left" vertical="center"/>
    </xf>
    <xf numFmtId="0" fontId="12" fillId="4" borderId="8" xfId="0" applyFont="1" applyFill="1" applyBorder="1" applyAlignment="1" applyProtection="1">
      <alignment horizontal="left" vertical="center"/>
    </xf>
    <xf numFmtId="0" fontId="12" fillId="4" borderId="20" xfId="0" applyFont="1" applyFill="1" applyBorder="1" applyAlignment="1" applyProtection="1">
      <alignment horizontal="left" vertical="center" wrapText="1"/>
    </xf>
    <xf numFmtId="1" fontId="51" fillId="9" borderId="0" xfId="0" applyNumberFormat="1" applyFont="1" applyFill="1" applyBorder="1" applyAlignment="1" applyProtection="1">
      <alignment horizontal="center" wrapText="1"/>
      <protection locked="0"/>
    </xf>
    <xf numFmtId="0" fontId="0" fillId="6" borderId="10" xfId="0" applyFont="1" applyFill="1" applyBorder="1" applyAlignment="1" applyProtection="1">
      <alignment vertical="center" wrapText="1"/>
      <protection locked="0"/>
    </xf>
    <xf numFmtId="0" fontId="0" fillId="6" borderId="49" xfId="0" applyFont="1" applyFill="1" applyBorder="1" applyAlignment="1" applyProtection="1">
      <alignment vertical="center" wrapText="1"/>
      <protection locked="0"/>
    </xf>
    <xf numFmtId="0" fontId="66" fillId="6" borderId="0" xfId="0" applyFont="1" applyFill="1" applyBorder="1" applyAlignment="1" applyProtection="1">
      <alignment horizontal="left"/>
    </xf>
    <xf numFmtId="0" fontId="17" fillId="6" borderId="14" xfId="0" applyFont="1" applyFill="1" applyBorder="1" applyAlignment="1" applyProtection="1">
      <alignment horizontal="center"/>
    </xf>
    <xf numFmtId="9" fontId="17" fillId="6" borderId="14" xfId="0" applyNumberFormat="1" applyFont="1" applyFill="1" applyBorder="1" applyAlignment="1" applyProtection="1">
      <alignment horizontal="center"/>
    </xf>
    <xf numFmtId="4" fontId="10" fillId="10" borderId="11" xfId="0" applyNumberFormat="1" applyFont="1" applyFill="1" applyBorder="1" applyAlignment="1">
      <alignment horizontal="left" vertical="center"/>
    </xf>
    <xf numFmtId="1" fontId="10" fillId="10" borderId="11" xfId="0" applyNumberFormat="1" applyFont="1" applyFill="1" applyBorder="1" applyAlignment="1" applyProtection="1">
      <alignment horizontal="center" vertical="center" wrapText="1"/>
      <protection locked="0"/>
    </xf>
    <xf numFmtId="9" fontId="10" fillId="10" borderId="11" xfId="0" applyNumberFormat="1" applyFont="1" applyFill="1" applyBorder="1" applyAlignment="1" applyProtection="1">
      <alignment horizontal="center" vertical="center" wrapText="1"/>
      <protection locked="0"/>
    </xf>
    <xf numFmtId="4" fontId="66" fillId="10" borderId="57" xfId="0" applyNumberFormat="1" applyFont="1" applyFill="1" applyBorder="1" applyAlignment="1">
      <alignment horizontal="left" vertical="center"/>
    </xf>
    <xf numFmtId="0" fontId="26" fillId="9" borderId="52" xfId="0" applyFont="1" applyFill="1" applyBorder="1" applyAlignment="1" applyProtection="1">
      <alignment horizontal="left" vertical="center"/>
    </xf>
    <xf numFmtId="0" fontId="26" fillId="9" borderId="52" xfId="0" applyFont="1" applyFill="1" applyBorder="1" applyAlignment="1" applyProtection="1">
      <alignment horizontal="left" vertical="center" wrapText="1"/>
    </xf>
    <xf numFmtId="4" fontId="52" fillId="9" borderId="58" xfId="0" applyNumberFormat="1" applyFont="1" applyFill="1" applyBorder="1" applyAlignment="1" applyProtection="1">
      <alignment vertical="center" wrapText="1"/>
    </xf>
    <xf numFmtId="4" fontId="26" fillId="9" borderId="58" xfId="0" applyNumberFormat="1" applyFont="1" applyFill="1" applyBorder="1" applyAlignment="1" applyProtection="1">
      <alignment vertical="center" wrapText="1"/>
    </xf>
    <xf numFmtId="4" fontId="12" fillId="4" borderId="59" xfId="0" applyNumberFormat="1" applyFont="1" applyFill="1" applyBorder="1" applyAlignment="1" applyProtection="1">
      <alignment vertical="center" wrapText="1"/>
    </xf>
    <xf numFmtId="4" fontId="12" fillId="4" borderId="10" xfId="0" applyNumberFormat="1" applyFont="1" applyFill="1" applyBorder="1" applyAlignment="1" applyProtection="1">
      <alignment vertical="center" wrapText="1"/>
    </xf>
    <xf numFmtId="10" fontId="34" fillId="6" borderId="30" xfId="0" applyNumberFormat="1" applyFont="1" applyFill="1" applyBorder="1" applyProtection="1"/>
    <xf numFmtId="10" fontId="34" fillId="6" borderId="32" xfId="0" applyNumberFormat="1" applyFont="1" applyFill="1" applyBorder="1" applyAlignment="1" applyProtection="1">
      <alignment vertical="center"/>
    </xf>
    <xf numFmtId="10" fontId="34" fillId="6" borderId="32" xfId="0" applyNumberFormat="1" applyFont="1" applyFill="1" applyBorder="1" applyProtection="1"/>
    <xf numFmtId="10" fontId="34" fillId="6" borderId="35" xfId="0" applyNumberFormat="1" applyFont="1" applyFill="1" applyBorder="1" applyProtection="1"/>
    <xf numFmtId="0" fontId="77" fillId="0" borderId="0" xfId="0" applyFont="1"/>
    <xf numFmtId="0" fontId="6" fillId="0" borderId="0" xfId="0" quotePrefix="1" applyFont="1" applyAlignment="1">
      <alignment horizontal="left"/>
    </xf>
    <xf numFmtId="9" fontId="5" fillId="6" borderId="21" xfId="0" applyNumberFormat="1" applyFont="1" applyFill="1" applyBorder="1" applyAlignment="1" applyProtection="1">
      <alignment horizontal="right" vertical="center" wrapText="1"/>
      <protection locked="0"/>
    </xf>
    <xf numFmtId="9" fontId="5" fillId="6" borderId="60" xfId="0" applyNumberFormat="1" applyFont="1" applyFill="1" applyBorder="1" applyAlignment="1" applyProtection="1">
      <alignment horizontal="right" vertical="center" wrapText="1"/>
      <protection locked="0"/>
    </xf>
    <xf numFmtId="4" fontId="12" fillId="4" borderId="59" xfId="0" applyNumberFormat="1" applyFont="1" applyFill="1" applyBorder="1" applyAlignment="1" applyProtection="1">
      <alignment vertical="center" wrapText="1"/>
      <protection locked="0"/>
    </xf>
    <xf numFmtId="10" fontId="78" fillId="9" borderId="19" xfId="1" applyNumberFormat="1" applyFont="1" applyFill="1" applyBorder="1" applyAlignment="1" applyProtection="1">
      <alignment vertical="center" wrapText="1"/>
    </xf>
    <xf numFmtId="2" fontId="33" fillId="5" borderId="11" xfId="0" applyNumberFormat="1" applyFont="1" applyFill="1" applyBorder="1" applyAlignment="1" applyProtection="1">
      <alignment horizontal="center" vertical="center" wrapText="1"/>
    </xf>
    <xf numFmtId="4" fontId="12" fillId="4" borderId="59" xfId="0" applyNumberFormat="1" applyFont="1" applyFill="1" applyBorder="1" applyAlignment="1" applyProtection="1">
      <alignment horizontal="left" vertical="center"/>
    </xf>
    <xf numFmtId="0" fontId="6" fillId="2" borderId="63" xfId="0" applyFont="1" applyFill="1" applyBorder="1" applyAlignment="1" applyProtection="1">
      <alignment horizontal="left" vertical="center" wrapText="1"/>
    </xf>
    <xf numFmtId="0" fontId="6" fillId="11" borderId="64" xfId="0" applyFont="1" applyFill="1" applyBorder="1" applyAlignment="1" applyProtection="1">
      <alignment horizontal="left" vertical="center" wrapText="1"/>
    </xf>
    <xf numFmtId="0" fontId="14" fillId="10" borderId="14" xfId="0" applyFont="1" applyFill="1" applyBorder="1" applyAlignment="1" applyProtection="1">
      <alignment horizontal="center" wrapText="1"/>
    </xf>
    <xf numFmtId="0" fontId="14" fillId="10" borderId="14" xfId="0" applyFont="1" applyFill="1" applyBorder="1" applyAlignment="1" applyProtection="1">
      <alignment wrapText="1"/>
    </xf>
    <xf numFmtId="0" fontId="80" fillId="10" borderId="14" xfId="0" applyFont="1" applyFill="1" applyBorder="1" applyAlignment="1" applyProtection="1"/>
    <xf numFmtId="0" fontId="80" fillId="10" borderId="15" xfId="0" applyFont="1" applyFill="1" applyBorder="1" applyAlignment="1" applyProtection="1"/>
    <xf numFmtId="0" fontId="33" fillId="6" borderId="61" xfId="0" applyFont="1" applyFill="1" applyBorder="1" applyAlignment="1" applyProtection="1">
      <alignment horizontal="left" vertical="top"/>
      <protection locked="0"/>
    </xf>
    <xf numFmtId="0" fontId="5" fillId="6" borderId="61" xfId="0" applyFont="1" applyFill="1" applyBorder="1" applyAlignment="1" applyProtection="1">
      <alignment horizontal="left" vertical="top"/>
      <protection locked="0"/>
    </xf>
    <xf numFmtId="4" fontId="6" fillId="6" borderId="61" xfId="0" applyNumberFormat="1" applyFont="1" applyFill="1" applyBorder="1" applyAlignment="1" applyProtection="1">
      <alignment vertical="top" wrapText="1"/>
      <protection locked="0"/>
    </xf>
    <xf numFmtId="4" fontId="6" fillId="2" borderId="8" xfId="0" applyNumberFormat="1" applyFont="1" applyFill="1" applyBorder="1" applyAlignment="1" applyProtection="1">
      <alignment horizontal="right" vertical="center" wrapText="1"/>
    </xf>
    <xf numFmtId="4" fontId="6" fillId="7" borderId="8" xfId="0" applyNumberFormat="1" applyFont="1" applyFill="1" applyBorder="1" applyAlignment="1" applyProtection="1">
      <alignment horizontal="right" vertical="center" wrapText="1"/>
    </xf>
    <xf numFmtId="4" fontId="7" fillId="2" borderId="10" xfId="0" applyNumberFormat="1" applyFont="1" applyFill="1" applyBorder="1" applyAlignment="1" applyProtection="1">
      <alignment horizontal="right" vertical="center" wrapText="1"/>
    </xf>
    <xf numFmtId="4" fontId="7" fillId="7" borderId="10" xfId="0" applyNumberFormat="1" applyFont="1" applyFill="1" applyBorder="1" applyAlignment="1" applyProtection="1">
      <alignment horizontal="right" vertical="center" wrapText="1"/>
    </xf>
    <xf numFmtId="0" fontId="6" fillId="6" borderId="61" xfId="0" applyFont="1" applyFill="1" applyBorder="1" applyAlignment="1" applyProtection="1">
      <alignment horizontal="left" vertical="top" wrapText="1"/>
      <protection locked="0"/>
    </xf>
    <xf numFmtId="0" fontId="6" fillId="6" borderId="62" xfId="0" applyFont="1" applyFill="1" applyBorder="1" applyAlignment="1" applyProtection="1">
      <alignment horizontal="left" vertical="top" wrapText="1"/>
      <protection locked="0"/>
    </xf>
    <xf numFmtId="0" fontId="7" fillId="4" borderId="20" xfId="0" applyFont="1" applyFill="1" applyBorder="1" applyAlignment="1" applyProtection="1">
      <alignment horizontal="left" vertical="center" wrapText="1"/>
    </xf>
    <xf numFmtId="0" fontId="0" fillId="6" borderId="0" xfId="0" applyFont="1" applyFill="1" applyProtection="1"/>
    <xf numFmtId="0" fontId="33" fillId="0" borderId="0" xfId="0" applyFont="1" applyProtection="1"/>
    <xf numFmtId="0" fontId="12" fillId="0" borderId="0" xfId="0" applyFont="1" applyProtection="1"/>
    <xf numFmtId="2" fontId="0" fillId="0" borderId="0" xfId="0" applyNumberFormat="1" applyFont="1" applyProtection="1"/>
    <xf numFmtId="0" fontId="5" fillId="0" borderId="0" xfId="0" applyFont="1" applyAlignment="1" applyProtection="1">
      <alignment wrapText="1"/>
    </xf>
    <xf numFmtId="2" fontId="33" fillId="0" borderId="21" xfId="0" applyNumberFormat="1" applyFont="1" applyFill="1" applyBorder="1" applyAlignment="1" applyProtection="1">
      <alignment horizontal="center" vertical="center" wrapText="1"/>
      <protection locked="0"/>
    </xf>
    <xf numFmtId="1" fontId="27" fillId="9" borderId="50" xfId="0" applyNumberFormat="1" applyFont="1" applyFill="1" applyBorder="1" applyAlignment="1" applyProtection="1">
      <alignment horizontal="center"/>
    </xf>
    <xf numFmtId="10" fontId="33" fillId="7" borderId="21" xfId="0" applyNumberFormat="1" applyFont="1" applyFill="1" applyBorder="1" applyAlignment="1" applyProtection="1">
      <alignment vertical="center" wrapText="1"/>
    </xf>
    <xf numFmtId="10" fontId="20" fillId="7" borderId="0" xfId="0" applyNumberFormat="1" applyFont="1" applyFill="1" applyBorder="1" applyAlignment="1" applyProtection="1">
      <alignment horizontal="right"/>
    </xf>
    <xf numFmtId="0" fontId="7" fillId="0" borderId="0" xfId="0" applyFont="1" applyAlignment="1" applyProtection="1">
      <alignment horizontal="left" vertical="top" wrapText="1"/>
    </xf>
    <xf numFmtId="0" fontId="12" fillId="0" borderId="34" xfId="0" applyFont="1" applyBorder="1" applyAlignment="1" applyProtection="1">
      <alignment horizontal="right" vertical="center"/>
    </xf>
    <xf numFmtId="0" fontId="21" fillId="10" borderId="11" xfId="0" applyFont="1" applyFill="1" applyBorder="1" applyAlignment="1" applyProtection="1">
      <alignment horizontal="center"/>
    </xf>
    <xf numFmtId="0" fontId="21" fillId="10" borderId="11" xfId="0" applyFont="1" applyFill="1" applyBorder="1" applyAlignment="1" applyProtection="1">
      <alignment horizontal="left" vertical="center" wrapText="1"/>
    </xf>
    <xf numFmtId="0" fontId="24" fillId="5" borderId="10" xfId="0" applyFont="1" applyFill="1" applyBorder="1" applyAlignment="1" applyProtection="1">
      <alignment horizontal="left" vertical="top" wrapText="1"/>
    </xf>
    <xf numFmtId="0" fontId="24" fillId="5" borderId="8" xfId="0" applyFont="1" applyFill="1" applyBorder="1" applyAlignment="1" applyProtection="1">
      <alignment horizontal="left" vertical="top" wrapText="1"/>
    </xf>
    <xf numFmtId="0" fontId="24" fillId="5" borderId="5" xfId="0" applyFont="1" applyFill="1" applyBorder="1" applyAlignment="1" applyProtection="1">
      <alignment horizontal="left" vertical="top" wrapText="1"/>
    </xf>
    <xf numFmtId="0" fontId="12" fillId="4" borderId="8" xfId="0" applyFont="1" applyFill="1" applyBorder="1" applyAlignment="1" applyProtection="1">
      <alignment horizontal="left" vertical="center" wrapText="1"/>
    </xf>
    <xf numFmtId="0" fontId="0" fillId="11" borderId="16" xfId="0" applyFont="1" applyFill="1" applyBorder="1" applyAlignment="1" applyProtection="1">
      <alignment horizontal="left" vertical="center" wrapText="1"/>
    </xf>
    <xf numFmtId="0" fontId="0" fillId="11" borderId="17" xfId="0" applyFont="1" applyFill="1" applyBorder="1" applyAlignment="1" applyProtection="1">
      <alignment horizontal="left" vertical="center" wrapText="1"/>
    </xf>
    <xf numFmtId="0" fontId="0" fillId="5" borderId="16" xfId="0" applyFont="1" applyFill="1" applyBorder="1" applyAlignment="1" applyProtection="1">
      <alignment horizontal="left" vertical="center" wrapText="1"/>
    </xf>
    <xf numFmtId="0" fontId="0" fillId="5" borderId="17" xfId="0" applyFont="1" applyFill="1" applyBorder="1" applyAlignment="1" applyProtection="1">
      <alignment horizontal="left" vertical="center" wrapText="1"/>
    </xf>
    <xf numFmtId="0" fontId="60" fillId="8" borderId="0" xfId="0" applyFont="1" applyFill="1" applyBorder="1" applyAlignment="1" applyProtection="1">
      <alignment horizontal="center" vertical="center" wrapText="1"/>
    </xf>
    <xf numFmtId="0" fontId="12" fillId="10" borderId="37" xfId="0" applyFont="1" applyFill="1" applyBorder="1" applyAlignment="1" applyProtection="1">
      <alignment horizontal="center" vertical="center" wrapText="1"/>
    </xf>
    <xf numFmtId="0" fontId="12" fillId="4" borderId="0" xfId="0" applyFont="1" applyFill="1" applyBorder="1" applyAlignment="1" applyProtection="1">
      <alignment horizontal="left" vertical="center" wrapText="1"/>
    </xf>
    <xf numFmtId="0" fontId="12" fillId="4" borderId="9" xfId="0" applyFont="1" applyFill="1" applyBorder="1" applyAlignment="1" applyProtection="1">
      <alignment horizontal="left" vertical="center" wrapText="1"/>
    </xf>
    <xf numFmtId="0" fontId="12" fillId="3" borderId="8" xfId="0" applyFont="1" applyFill="1" applyBorder="1" applyAlignment="1" applyProtection="1">
      <alignment horizontal="left" vertical="center" wrapText="1"/>
    </xf>
    <xf numFmtId="0" fontId="12" fillId="10" borderId="28" xfId="0" applyFont="1" applyFill="1" applyBorder="1" applyAlignment="1" applyProtection="1">
      <alignment horizontal="center" vertical="center" wrapText="1"/>
    </xf>
    <xf numFmtId="0" fontId="12" fillId="10" borderId="29" xfId="0" applyFont="1" applyFill="1" applyBorder="1" applyAlignment="1" applyProtection="1">
      <alignment horizontal="center" vertical="center" wrapText="1"/>
    </xf>
    <xf numFmtId="0" fontId="21" fillId="10" borderId="11" xfId="0" applyFont="1" applyFill="1" applyBorder="1" applyAlignment="1" applyProtection="1">
      <alignment vertical="top"/>
    </xf>
    <xf numFmtId="0" fontId="44" fillId="6" borderId="11" xfId="0" applyFont="1" applyFill="1" applyBorder="1" applyAlignment="1" applyProtection="1">
      <alignment horizontal="left" vertical="top" wrapText="1"/>
      <protection locked="0"/>
    </xf>
    <xf numFmtId="0" fontId="18" fillId="6" borderId="11" xfId="0" applyFont="1" applyFill="1" applyBorder="1" applyAlignment="1" applyProtection="1">
      <alignment horizontal="left" vertical="center" wrapText="1"/>
      <protection locked="0"/>
    </xf>
    <xf numFmtId="0" fontId="17" fillId="6" borderId="45" xfId="0" applyFont="1" applyFill="1" applyBorder="1" applyAlignment="1" applyProtection="1">
      <alignment horizontal="center"/>
    </xf>
    <xf numFmtId="43" fontId="47" fillId="12" borderId="11" xfId="2" applyFont="1" applyFill="1" applyBorder="1" applyAlignment="1" applyProtection="1">
      <alignment horizontal="center" vertical="center"/>
    </xf>
    <xf numFmtId="0" fontId="10" fillId="10" borderId="11" xfId="0" applyFont="1" applyFill="1" applyBorder="1" applyAlignment="1" applyProtection="1">
      <alignment horizontal="center" vertical="center"/>
    </xf>
    <xf numFmtId="0" fontId="81" fillId="10" borderId="44" xfId="0" applyFont="1" applyFill="1" applyBorder="1" applyAlignment="1" applyProtection="1">
      <alignment horizontal="center" wrapText="1"/>
    </xf>
    <xf numFmtId="0" fontId="81" fillId="10" borderId="46" xfId="0" applyFont="1" applyFill="1" applyBorder="1" applyAlignment="1" applyProtection="1">
      <alignment horizontal="center" wrapText="1"/>
    </xf>
    <xf numFmtId="0" fontId="14" fillId="10" borderId="13" xfId="0" applyFont="1" applyFill="1" applyBorder="1" applyAlignment="1" applyProtection="1">
      <alignment horizontal="center" wrapText="1"/>
    </xf>
    <xf numFmtId="0" fontId="14" fillId="10" borderId="14" xfId="0" applyFont="1" applyFill="1" applyBorder="1" applyAlignment="1" applyProtection="1">
      <alignment horizontal="center" wrapText="1"/>
    </xf>
    <xf numFmtId="0" fontId="79" fillId="10" borderId="14" xfId="0" applyFont="1" applyFill="1" applyBorder="1" applyAlignment="1" applyProtection="1">
      <alignment horizontal="center" wrapText="1"/>
    </xf>
    <xf numFmtId="0" fontId="79" fillId="10" borderId="15" xfId="0" applyFont="1" applyFill="1" applyBorder="1" applyAlignment="1" applyProtection="1">
      <alignment horizontal="center" wrapText="1"/>
    </xf>
    <xf numFmtId="0" fontId="24" fillId="6" borderId="10" xfId="0" applyFont="1" applyFill="1" applyBorder="1" applyAlignment="1" applyProtection="1">
      <alignment horizontal="left" vertical="top" wrapText="1"/>
    </xf>
    <xf numFmtId="0" fontId="24" fillId="6" borderId="8" xfId="0" applyFont="1" applyFill="1" applyBorder="1" applyAlignment="1" applyProtection="1">
      <alignment horizontal="left" vertical="top" wrapText="1"/>
    </xf>
    <xf numFmtId="0" fontId="24" fillId="6" borderId="22" xfId="0" applyFont="1" applyFill="1" applyBorder="1" applyAlignment="1" applyProtection="1">
      <alignment horizontal="left" vertical="top" wrapText="1"/>
    </xf>
    <xf numFmtId="0" fontId="24" fillId="5" borderId="20" xfId="0" applyFont="1" applyFill="1" applyBorder="1" applyAlignment="1" applyProtection="1">
      <alignment horizontal="left" vertical="top" wrapText="1"/>
    </xf>
    <xf numFmtId="0" fontId="24" fillId="5" borderId="23" xfId="0" applyFont="1" applyFill="1" applyBorder="1" applyAlignment="1" applyProtection="1">
      <alignment horizontal="left" vertical="top" wrapText="1"/>
    </xf>
    <xf numFmtId="0" fontId="0" fillId="2" borderId="10" xfId="0" applyFont="1" applyFill="1" applyBorder="1" applyAlignment="1" applyProtection="1">
      <alignment horizontal="left" vertical="center" wrapText="1"/>
    </xf>
    <xf numFmtId="0" fontId="0" fillId="2" borderId="49" xfId="0" applyFont="1" applyFill="1" applyBorder="1" applyAlignment="1" applyProtection="1">
      <alignment horizontal="left" vertical="center" wrapText="1"/>
    </xf>
    <xf numFmtId="0" fontId="0" fillId="7" borderId="10" xfId="0" applyFont="1" applyFill="1" applyBorder="1" applyAlignment="1" applyProtection="1">
      <alignment horizontal="left" vertical="center" wrapText="1"/>
    </xf>
    <xf numFmtId="0" fontId="0" fillId="7" borderId="49" xfId="0" applyFont="1" applyFill="1" applyBorder="1" applyAlignment="1" applyProtection="1">
      <alignment horizontal="left" vertical="center" wrapText="1"/>
    </xf>
    <xf numFmtId="0" fontId="42" fillId="6" borderId="10" xfId="0" applyFont="1" applyFill="1" applyBorder="1" applyAlignment="1" applyProtection="1">
      <alignment horizontal="left" vertical="center" wrapText="1"/>
    </xf>
    <xf numFmtId="0" fontId="42" fillId="6" borderId="49" xfId="0" applyFont="1" applyFill="1" applyBorder="1" applyAlignment="1" applyProtection="1">
      <alignment horizontal="left" vertical="center" wrapText="1"/>
    </xf>
    <xf numFmtId="1" fontId="26" fillId="9" borderId="51" xfId="0" applyNumberFormat="1" applyFont="1" applyFill="1" applyBorder="1" applyAlignment="1" applyProtection="1">
      <alignment horizontal="center"/>
      <protection locked="0"/>
    </xf>
    <xf numFmtId="4" fontId="10" fillId="9" borderId="0" xfId="0" applyNumberFormat="1" applyFont="1" applyFill="1" applyAlignment="1">
      <alignment horizontal="center"/>
    </xf>
    <xf numFmtId="4" fontId="10" fillId="4" borderId="0" xfId="0" applyNumberFormat="1" applyFont="1" applyFill="1" applyAlignment="1">
      <alignment horizontal="center"/>
    </xf>
    <xf numFmtId="1" fontId="26" fillId="4" borderId="50" xfId="0" applyNumberFormat="1" applyFont="1" applyFill="1" applyBorder="1" applyAlignment="1" applyProtection="1">
      <alignment horizontal="center"/>
      <protection locked="0"/>
    </xf>
    <xf numFmtId="0" fontId="18" fillId="5" borderId="11" xfId="0" applyFont="1" applyFill="1" applyBorder="1" applyAlignment="1" applyProtection="1">
      <alignment horizontal="left" vertical="center" wrapText="1"/>
    </xf>
    <xf numFmtId="0" fontId="10" fillId="9" borderId="8" xfId="0" applyFont="1" applyFill="1" applyBorder="1" applyAlignment="1" applyProtection="1">
      <alignment horizontal="left" vertical="center" wrapText="1"/>
    </xf>
    <xf numFmtId="0" fontId="0" fillId="7" borderId="8" xfId="0" applyFont="1" applyFill="1" applyBorder="1" applyAlignment="1" applyProtection="1">
      <alignment horizontal="left" vertical="center" wrapText="1"/>
    </xf>
    <xf numFmtId="0" fontId="80" fillId="10" borderId="13" xfId="0" applyFont="1" applyFill="1" applyBorder="1" applyAlignment="1" applyProtection="1">
      <alignment horizontal="center" wrapText="1"/>
    </xf>
    <xf numFmtId="0" fontId="80" fillId="10" borderId="14" xfId="0" applyFont="1" applyFill="1" applyBorder="1" applyAlignment="1" applyProtection="1">
      <alignment horizontal="center" wrapText="1"/>
    </xf>
    <xf numFmtId="0" fontId="80" fillId="10" borderId="15" xfId="0" applyFont="1" applyFill="1" applyBorder="1" applyAlignment="1" applyProtection="1">
      <alignment horizontal="center" wrapText="1"/>
    </xf>
    <xf numFmtId="0" fontId="14" fillId="10" borderId="15" xfId="0" applyFont="1" applyFill="1" applyBorder="1" applyAlignment="1" applyProtection="1">
      <alignment horizontal="center" wrapText="1"/>
    </xf>
    <xf numFmtId="0" fontId="0" fillId="6" borderId="0" xfId="0" applyFont="1" applyFill="1" applyAlignment="1" applyProtection="1">
      <alignment horizontal="left" wrapText="1"/>
      <protection locked="0"/>
    </xf>
    <xf numFmtId="1" fontId="26" fillId="9" borderId="50" xfId="0" applyNumberFormat="1" applyFont="1" applyFill="1" applyBorder="1" applyAlignment="1" applyProtection="1">
      <alignment horizontal="center"/>
      <protection locked="0"/>
    </xf>
    <xf numFmtId="0" fontId="0" fillId="2" borderId="8" xfId="0" applyFont="1" applyFill="1" applyBorder="1" applyAlignment="1" applyProtection="1">
      <alignment horizontal="left" vertical="center" wrapText="1"/>
    </xf>
    <xf numFmtId="166" fontId="33" fillId="6" borderId="0" xfId="0" applyNumberFormat="1" applyFont="1" applyFill="1" applyBorder="1" applyAlignment="1" applyProtection="1">
      <alignment horizontal="left" vertical="center"/>
    </xf>
    <xf numFmtId="0" fontId="80" fillId="10" borderId="14" xfId="0" applyFont="1" applyFill="1" applyBorder="1" applyAlignment="1" applyProtection="1">
      <alignment horizontal="center"/>
    </xf>
    <xf numFmtId="0" fontId="80" fillId="10" borderId="15" xfId="0" applyFont="1" applyFill="1" applyBorder="1" applyAlignment="1" applyProtection="1">
      <alignment horizontal="center"/>
    </xf>
    <xf numFmtId="0" fontId="10" fillId="4" borderId="8" xfId="0" applyFont="1" applyFill="1" applyBorder="1" applyAlignment="1" applyProtection="1">
      <alignment horizontal="left" vertical="center" wrapText="1"/>
    </xf>
    <xf numFmtId="0" fontId="18" fillId="5" borderId="13" xfId="0" applyFont="1" applyFill="1" applyBorder="1" applyAlignment="1" applyProtection="1">
      <alignment horizontal="left" vertical="center" wrapText="1"/>
    </xf>
    <xf numFmtId="0" fontId="18" fillId="5" borderId="14" xfId="0" applyFont="1" applyFill="1" applyBorder="1" applyAlignment="1" applyProtection="1">
      <alignment horizontal="left" vertical="center" wrapText="1"/>
    </xf>
    <xf numFmtId="0" fontId="18" fillId="5" borderId="15" xfId="0" applyFont="1" applyFill="1" applyBorder="1" applyAlignment="1" applyProtection="1">
      <alignment horizontal="left" vertical="center" wrapText="1"/>
    </xf>
    <xf numFmtId="0" fontId="0" fillId="6" borderId="10" xfId="0" applyFont="1" applyFill="1" applyBorder="1" applyAlignment="1" applyProtection="1">
      <alignment horizontal="left" vertical="center" wrapText="1"/>
      <protection locked="0"/>
    </xf>
    <xf numFmtId="0" fontId="0" fillId="6" borderId="49" xfId="0" applyFont="1" applyFill="1" applyBorder="1" applyAlignment="1" applyProtection="1">
      <alignment horizontal="left" vertical="center" wrapText="1"/>
      <protection locked="0"/>
    </xf>
    <xf numFmtId="0" fontId="10" fillId="10" borderId="14" xfId="0" applyFont="1" applyFill="1" applyBorder="1" applyAlignment="1" applyProtection="1">
      <alignment horizontal="center"/>
    </xf>
    <xf numFmtId="0" fontId="10" fillId="10" borderId="15" xfId="0" applyFont="1" applyFill="1" applyBorder="1" applyAlignment="1" applyProtection="1">
      <alignment horizontal="center"/>
    </xf>
    <xf numFmtId="0" fontId="18" fillId="5" borderId="44" xfId="0" applyFont="1" applyFill="1" applyBorder="1" applyAlignment="1" applyProtection="1">
      <alignment horizontal="left" vertical="center" wrapText="1"/>
    </xf>
    <xf numFmtId="0" fontId="18" fillId="5" borderId="45" xfId="0" applyFont="1" applyFill="1" applyBorder="1" applyAlignment="1" applyProtection="1">
      <alignment horizontal="left" vertical="center" wrapText="1"/>
    </xf>
    <xf numFmtId="0" fontId="18" fillId="5" borderId="46" xfId="0" applyFont="1" applyFill="1" applyBorder="1" applyAlignment="1" applyProtection="1">
      <alignment horizontal="left" vertical="center" wrapText="1"/>
    </xf>
    <xf numFmtId="0" fontId="18" fillId="5" borderId="12" xfId="0" applyFont="1" applyFill="1" applyBorder="1" applyAlignment="1" applyProtection="1">
      <alignment horizontal="left" vertical="center" wrapText="1"/>
    </xf>
    <xf numFmtId="1" fontId="26" fillId="9" borderId="50" xfId="0" applyNumberFormat="1" applyFont="1" applyFill="1" applyBorder="1" applyAlignment="1" applyProtection="1">
      <alignment horizontal="center"/>
    </xf>
    <xf numFmtId="4" fontId="26" fillId="9" borderId="0" xfId="0" applyNumberFormat="1" applyFont="1" applyFill="1" applyBorder="1" applyAlignment="1">
      <alignment horizontal="center" vertical="center"/>
    </xf>
    <xf numFmtId="4" fontId="26" fillId="9" borderId="52" xfId="0" applyNumberFormat="1" applyFont="1" applyFill="1" applyBorder="1" applyAlignment="1">
      <alignment horizontal="center" vertical="center"/>
    </xf>
    <xf numFmtId="0" fontId="79" fillId="10" borderId="14" xfId="0" applyFont="1" applyFill="1" applyBorder="1" applyAlignment="1" applyProtection="1">
      <alignment horizontal="center"/>
    </xf>
    <xf numFmtId="0" fontId="79" fillId="10" borderId="15" xfId="0" applyFont="1" applyFill="1" applyBorder="1" applyAlignment="1" applyProtection="1">
      <alignment horizontal="center"/>
    </xf>
    <xf numFmtId="0" fontId="6" fillId="6" borderId="10" xfId="0" applyFont="1" applyFill="1" applyBorder="1" applyAlignment="1" applyProtection="1">
      <alignment horizontal="left" vertical="center" wrapText="1"/>
    </xf>
    <xf numFmtId="0" fontId="6" fillId="6" borderId="49" xfId="0" applyFont="1" applyFill="1" applyBorder="1" applyAlignment="1" applyProtection="1">
      <alignment horizontal="left" vertical="center" wrapText="1"/>
    </xf>
    <xf numFmtId="4" fontId="26" fillId="9" borderId="0" xfId="0" applyNumberFormat="1" applyFont="1" applyFill="1" applyBorder="1" applyAlignment="1" applyProtection="1">
      <alignment horizontal="center" vertical="center"/>
    </xf>
    <xf numFmtId="4" fontId="26" fillId="9" borderId="52" xfId="0" applyNumberFormat="1" applyFont="1" applyFill="1" applyBorder="1" applyAlignment="1" applyProtection="1">
      <alignment horizontal="center" vertical="center"/>
    </xf>
    <xf numFmtId="1" fontId="26" fillId="9" borderId="0" xfId="0" applyNumberFormat="1" applyFont="1" applyFill="1" applyBorder="1" applyAlignment="1" applyProtection="1">
      <alignment horizontal="center"/>
    </xf>
    <xf numFmtId="1" fontId="27" fillId="4" borderId="48" xfId="0" applyNumberFormat="1" applyFont="1" applyFill="1" applyBorder="1" applyAlignment="1" applyProtection="1">
      <alignment horizontal="center" vertical="center" wrapText="1"/>
    </xf>
    <xf numFmtId="1" fontId="27" fillId="4" borderId="4" xfId="0" applyNumberFormat="1" applyFont="1" applyFill="1" applyBorder="1" applyAlignment="1" applyProtection="1">
      <alignment horizontal="center" vertical="center" wrapText="1"/>
    </xf>
    <xf numFmtId="1" fontId="27" fillId="4" borderId="3" xfId="0" applyNumberFormat="1" applyFont="1" applyFill="1" applyBorder="1" applyAlignment="1" applyProtection="1">
      <alignment horizontal="center" vertical="center" wrapText="1"/>
    </xf>
    <xf numFmtId="0" fontId="6" fillId="7" borderId="0" xfId="0" applyFont="1" applyFill="1" applyBorder="1" applyAlignment="1" applyProtection="1">
      <alignment horizontal="left" vertical="center" wrapText="1"/>
    </xf>
    <xf numFmtId="0" fontId="6" fillId="7" borderId="54" xfId="0" applyFont="1" applyFill="1" applyBorder="1" applyAlignment="1" applyProtection="1">
      <alignment horizontal="left" vertical="center" wrapText="1"/>
    </xf>
    <xf numFmtId="0" fontId="6" fillId="2" borderId="20" xfId="0" applyFont="1" applyFill="1" applyBorder="1" applyAlignment="1" applyProtection="1">
      <alignment horizontal="left" vertical="center" wrapText="1"/>
    </xf>
    <xf numFmtId="0" fontId="6" fillId="6" borderId="0" xfId="0" applyFont="1" applyFill="1" applyAlignment="1" applyProtection="1">
      <alignment horizontal="left"/>
      <protection locked="0"/>
    </xf>
    <xf numFmtId="0" fontId="6" fillId="7" borderId="10" xfId="0" applyFont="1" applyFill="1" applyBorder="1" applyAlignment="1" applyProtection="1">
      <alignment horizontal="left" vertical="center" wrapText="1"/>
    </xf>
    <xf numFmtId="0" fontId="6" fillId="7" borderId="49" xfId="0" applyFont="1" applyFill="1" applyBorder="1" applyAlignment="1" applyProtection="1">
      <alignment horizontal="left" vertical="center" wrapText="1"/>
    </xf>
    <xf numFmtId="0" fontId="24" fillId="5" borderId="55" xfId="0" applyFont="1" applyFill="1" applyBorder="1" applyAlignment="1" applyProtection="1">
      <alignment horizontal="left" vertical="top" wrapText="1"/>
    </xf>
    <xf numFmtId="0" fontId="24" fillId="5" borderId="0" xfId="0" applyFont="1" applyFill="1" applyBorder="1" applyAlignment="1" applyProtection="1">
      <alignment horizontal="left" vertical="top" wrapText="1"/>
    </xf>
    <xf numFmtId="1" fontId="27" fillId="4" borderId="10" xfId="0" applyNumberFormat="1" applyFont="1" applyFill="1" applyBorder="1" applyAlignment="1" applyProtection="1">
      <alignment horizontal="center" vertical="center"/>
    </xf>
    <xf numFmtId="1" fontId="27" fillId="4" borderId="5" xfId="0" applyNumberFormat="1" applyFont="1" applyFill="1" applyBorder="1" applyAlignment="1" applyProtection="1">
      <alignment horizontal="center" vertical="center"/>
    </xf>
    <xf numFmtId="0" fontId="6" fillId="11" borderId="0" xfId="0" applyFont="1" applyFill="1" applyBorder="1" applyAlignment="1" applyProtection="1">
      <alignment horizontal="left" vertical="center" wrapText="1" indent="2"/>
    </xf>
    <xf numFmtId="0" fontId="6" fillId="11" borderId="54" xfId="0" applyFont="1" applyFill="1" applyBorder="1" applyAlignment="1" applyProtection="1">
      <alignment horizontal="left" vertical="center" wrapText="1" indent="2"/>
    </xf>
  </cellXfs>
  <cellStyles count="5">
    <cellStyle name="Millares" xfId="2" builtinId="3"/>
    <cellStyle name="Normal" xfId="0" builtinId="0"/>
    <cellStyle name="Normal 2" xfId="3"/>
    <cellStyle name="Normal 3" xfId="4"/>
    <cellStyle name="Porcentaje" xfId="1" builtinId="5"/>
  </cellStyles>
  <dxfs count="0"/>
  <tableStyles count="0" defaultTableStyle="TableStyleMedium9" defaultPivotStyle="PivotStyleLight16"/>
  <colors>
    <mruColors>
      <color rgb="FFFFCC00"/>
      <color rgb="FFEBF9A7"/>
      <color rgb="FFF4FECE"/>
      <color rgb="FFF79F57"/>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-3513</xdr:colOff>
          <xdr:row>10</xdr:row>
          <xdr:rowOff>0</xdr:rowOff>
        </xdr:from>
        <xdr:to>
          <xdr:col>1</xdr:col>
          <xdr:colOff>-3513</xdr:colOff>
          <xdr:row>10</xdr:row>
          <xdr:rowOff>0</xdr:rowOff>
        </xdr:to>
        <xdr:grpSp>
          <xdr:nvGrpSpPr>
            <xdr:cNvPr id="15" name="14 Grupo"/>
            <xdr:cNvGrpSpPr/>
          </xdr:nvGrpSpPr>
          <xdr:grpSpPr>
            <a:xfrm>
              <a:off x="606087" y="2200275"/>
              <a:ext cx="0" cy="0"/>
              <a:chOff x="606087" y="220027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0</xdr:row>
          <xdr:rowOff>-18930274</xdr:rowOff>
        </xdr:from>
        <xdr:to>
          <xdr:col>1</xdr:col>
          <xdr:colOff>4234</xdr:colOff>
          <xdr:row>0</xdr:row>
          <xdr:rowOff>-18930274</xdr:rowOff>
        </xdr:to>
        <xdr:grpSp>
          <xdr:nvGrpSpPr>
            <xdr:cNvPr id="1439" name="Group 415"/>
            <xdr:cNvGrpSpPr>
              <a:grpSpLocks/>
            </xdr:cNvGrpSpPr>
          </xdr:nvGrpSpPr>
          <xdr:grpSpPr bwMode="auto">
            <a:xfrm>
              <a:off x="613834" y="-18930274"/>
              <a:ext cx="0" cy="0"/>
              <a:chOff x="613834" y="-1893027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14460</xdr:colOff>
          <xdr:row>0</xdr:row>
          <xdr:rowOff>-789392</xdr:rowOff>
        </xdr:from>
        <xdr:to>
          <xdr:col>1</xdr:col>
          <xdr:colOff>14460</xdr:colOff>
          <xdr:row>0</xdr:row>
          <xdr:rowOff>-789392</xdr:rowOff>
        </xdr:to>
        <xdr:grpSp>
          <xdr:nvGrpSpPr>
            <xdr:cNvPr id="1435" name="Group 411"/>
            <xdr:cNvGrpSpPr>
              <a:grpSpLocks/>
            </xdr:cNvGrpSpPr>
          </xdr:nvGrpSpPr>
          <xdr:grpSpPr bwMode="auto">
            <a:xfrm>
              <a:off x="624060" y="-789392"/>
              <a:ext cx="0" cy="0"/>
              <a:chOff x="624060" y="-789392"/>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1427" name="Group 403"/>
            <xdr:cNvGrpSpPr>
              <a:grpSpLocks/>
            </xdr:cNvGrpSpPr>
          </xdr:nvGrpSpPr>
          <xdr:grpSpPr bwMode="auto">
            <a:xfrm>
              <a:off x="614281" y="818864"/>
              <a:ext cx="0" cy="0"/>
              <a:chOff x="614281" y="81886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1438" name="Group 414"/>
            <xdr:cNvGrpSpPr>
              <a:grpSpLocks/>
            </xdr:cNvGrpSpPr>
          </xdr:nvGrpSpPr>
          <xdr:grpSpPr bwMode="auto">
            <a:xfrm>
              <a:off x="613834" y="402515"/>
              <a:ext cx="0" cy="0"/>
              <a:chOff x="613834" y="402515"/>
              <a:chExt cx="0" cy="0"/>
            </a:xfrm>
          </xdr:grpSpPr>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4234</xdr:colOff>
          <xdr:row>0</xdr:row>
          <xdr:rowOff>-18930274</xdr:rowOff>
        </xdr:from>
        <xdr:to>
          <xdr:col>1</xdr:col>
          <xdr:colOff>4234</xdr:colOff>
          <xdr:row>0</xdr:row>
          <xdr:rowOff>-18930274</xdr:rowOff>
        </xdr:to>
        <xdr:grpSp>
          <xdr:nvGrpSpPr>
            <xdr:cNvPr id="3" name="Group 415"/>
            <xdr:cNvGrpSpPr>
              <a:grpSpLocks/>
            </xdr:cNvGrpSpPr>
          </xdr:nvGrpSpPr>
          <xdr:grpSpPr bwMode="auto">
            <a:xfrm>
              <a:off x="509059" y="-18930274"/>
              <a:ext cx="0" cy="0"/>
              <a:chOff x="509059" y="-1893027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14460</xdr:colOff>
          <xdr:row>0</xdr:row>
          <xdr:rowOff>-789392</xdr:rowOff>
        </xdr:from>
        <xdr:to>
          <xdr:col>1</xdr:col>
          <xdr:colOff>14460</xdr:colOff>
          <xdr:row>0</xdr:row>
          <xdr:rowOff>-789392</xdr:rowOff>
        </xdr:to>
        <xdr:grpSp>
          <xdr:nvGrpSpPr>
            <xdr:cNvPr id="4" name="Group 411"/>
            <xdr:cNvGrpSpPr>
              <a:grpSpLocks/>
            </xdr:cNvGrpSpPr>
          </xdr:nvGrpSpPr>
          <xdr:grpSpPr bwMode="auto">
            <a:xfrm>
              <a:off x="519285" y="-789392"/>
              <a:ext cx="0" cy="0"/>
              <a:chOff x="519285" y="-789392"/>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5" name="Group 403"/>
            <xdr:cNvGrpSpPr>
              <a:grpSpLocks/>
            </xdr:cNvGrpSpPr>
          </xdr:nvGrpSpPr>
          <xdr:grpSpPr bwMode="auto">
            <a:xfrm>
              <a:off x="509506" y="809339"/>
              <a:ext cx="0" cy="0"/>
              <a:chOff x="509506" y="80933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6" name="Group 414"/>
            <xdr:cNvGrpSpPr>
              <a:grpSpLocks/>
            </xdr:cNvGrpSpPr>
          </xdr:nvGrpSpPr>
          <xdr:grpSpPr bwMode="auto">
            <a:xfrm>
              <a:off x="509059" y="402515"/>
              <a:ext cx="0" cy="0"/>
              <a:chOff x="509059"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4</xdr:row>
          <xdr:rowOff>85439</xdr:rowOff>
        </xdr:from>
        <xdr:to>
          <xdr:col>1</xdr:col>
          <xdr:colOff>4681</xdr:colOff>
          <xdr:row>4</xdr:row>
          <xdr:rowOff>85439</xdr:rowOff>
        </xdr:to>
        <xdr:grpSp>
          <xdr:nvGrpSpPr>
            <xdr:cNvPr id="7" name="Group 403"/>
            <xdr:cNvGrpSpPr>
              <a:grpSpLocks/>
            </xdr:cNvGrpSpPr>
          </xdr:nvGrpSpPr>
          <xdr:grpSpPr bwMode="auto">
            <a:xfrm>
              <a:off x="509506" y="1018889"/>
              <a:ext cx="0" cy="0"/>
              <a:chOff x="509506" y="1018889"/>
              <a:chExt cx="0" cy="0"/>
            </a:xfrm>
          </xdr:grpSpPr>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4234</xdr:colOff>
          <xdr:row>0</xdr:row>
          <xdr:rowOff>-18930274</xdr:rowOff>
        </xdr:from>
        <xdr:to>
          <xdr:col>1</xdr:col>
          <xdr:colOff>4234</xdr:colOff>
          <xdr:row>0</xdr:row>
          <xdr:rowOff>-18930274</xdr:rowOff>
        </xdr:to>
        <xdr:grpSp>
          <xdr:nvGrpSpPr>
            <xdr:cNvPr id="2" name="Group 415"/>
            <xdr:cNvGrpSpPr>
              <a:grpSpLocks/>
            </xdr:cNvGrpSpPr>
          </xdr:nvGrpSpPr>
          <xdr:grpSpPr bwMode="auto">
            <a:xfrm>
              <a:off x="461434" y="-18930274"/>
              <a:ext cx="0" cy="0"/>
              <a:chOff x="461434" y="-1893027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14460</xdr:colOff>
          <xdr:row>0</xdr:row>
          <xdr:rowOff>-789392</xdr:rowOff>
        </xdr:from>
        <xdr:to>
          <xdr:col>1</xdr:col>
          <xdr:colOff>14460</xdr:colOff>
          <xdr:row>0</xdr:row>
          <xdr:rowOff>-789392</xdr:rowOff>
        </xdr:to>
        <xdr:grpSp>
          <xdr:nvGrpSpPr>
            <xdr:cNvPr id="3" name="Group 411"/>
            <xdr:cNvGrpSpPr>
              <a:grpSpLocks/>
            </xdr:cNvGrpSpPr>
          </xdr:nvGrpSpPr>
          <xdr:grpSpPr bwMode="auto">
            <a:xfrm>
              <a:off x="471660" y="-789392"/>
              <a:ext cx="0" cy="0"/>
              <a:chOff x="471660" y="-789392"/>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4" name="Group 403"/>
            <xdr:cNvGrpSpPr>
              <a:grpSpLocks/>
            </xdr:cNvGrpSpPr>
          </xdr:nvGrpSpPr>
          <xdr:grpSpPr bwMode="auto">
            <a:xfrm>
              <a:off x="461881" y="809339"/>
              <a:ext cx="0" cy="0"/>
              <a:chOff x="461881" y="80933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5" name="Group 414"/>
            <xdr:cNvGrpSpPr>
              <a:grpSpLocks/>
            </xdr:cNvGrpSpPr>
          </xdr:nvGrpSpPr>
          <xdr:grpSpPr bwMode="auto">
            <a:xfrm>
              <a:off x="461434" y="402515"/>
              <a:ext cx="0" cy="0"/>
              <a:chOff x="4614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6" name="Group 403"/>
            <xdr:cNvGrpSpPr>
              <a:grpSpLocks/>
            </xdr:cNvGrpSpPr>
          </xdr:nvGrpSpPr>
          <xdr:grpSpPr bwMode="auto">
            <a:xfrm>
              <a:off x="461881" y="809339"/>
              <a:ext cx="0" cy="0"/>
              <a:chOff x="461881" y="80933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7" name="Group 414"/>
            <xdr:cNvGrpSpPr>
              <a:grpSpLocks/>
            </xdr:cNvGrpSpPr>
          </xdr:nvGrpSpPr>
          <xdr:grpSpPr bwMode="auto">
            <a:xfrm>
              <a:off x="461434" y="402515"/>
              <a:ext cx="0" cy="0"/>
              <a:chOff x="4614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4</xdr:row>
          <xdr:rowOff>85439</xdr:rowOff>
        </xdr:from>
        <xdr:to>
          <xdr:col>1</xdr:col>
          <xdr:colOff>4681</xdr:colOff>
          <xdr:row>4</xdr:row>
          <xdr:rowOff>85439</xdr:rowOff>
        </xdr:to>
        <xdr:grpSp>
          <xdr:nvGrpSpPr>
            <xdr:cNvPr id="8" name="Group 403"/>
            <xdr:cNvGrpSpPr>
              <a:grpSpLocks/>
            </xdr:cNvGrpSpPr>
          </xdr:nvGrpSpPr>
          <xdr:grpSpPr bwMode="auto">
            <a:xfrm>
              <a:off x="461881" y="1018889"/>
              <a:ext cx="0" cy="0"/>
              <a:chOff x="461881" y="1018889"/>
              <a:chExt cx="0" cy="0"/>
            </a:xfrm>
          </xdr:grpSpPr>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4234</xdr:colOff>
          <xdr:row>0</xdr:row>
          <xdr:rowOff>-18930274</xdr:rowOff>
        </xdr:from>
        <xdr:to>
          <xdr:col>1</xdr:col>
          <xdr:colOff>4234</xdr:colOff>
          <xdr:row>0</xdr:row>
          <xdr:rowOff>-18930274</xdr:rowOff>
        </xdr:to>
        <xdr:grpSp>
          <xdr:nvGrpSpPr>
            <xdr:cNvPr id="2" name="Group 415"/>
            <xdr:cNvGrpSpPr>
              <a:grpSpLocks/>
            </xdr:cNvGrpSpPr>
          </xdr:nvGrpSpPr>
          <xdr:grpSpPr bwMode="auto">
            <a:xfrm>
              <a:off x="461434" y="-18930274"/>
              <a:ext cx="0" cy="0"/>
              <a:chOff x="461434" y="-1893027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14460</xdr:colOff>
          <xdr:row>0</xdr:row>
          <xdr:rowOff>-789392</xdr:rowOff>
        </xdr:from>
        <xdr:to>
          <xdr:col>1</xdr:col>
          <xdr:colOff>14460</xdr:colOff>
          <xdr:row>0</xdr:row>
          <xdr:rowOff>-789392</xdr:rowOff>
        </xdr:to>
        <xdr:grpSp>
          <xdr:nvGrpSpPr>
            <xdr:cNvPr id="3" name="Group 411"/>
            <xdr:cNvGrpSpPr>
              <a:grpSpLocks/>
            </xdr:cNvGrpSpPr>
          </xdr:nvGrpSpPr>
          <xdr:grpSpPr bwMode="auto">
            <a:xfrm>
              <a:off x="471660" y="-789392"/>
              <a:ext cx="0" cy="0"/>
              <a:chOff x="471660" y="-789392"/>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4" name="Group 403"/>
            <xdr:cNvGrpSpPr>
              <a:grpSpLocks/>
            </xdr:cNvGrpSpPr>
          </xdr:nvGrpSpPr>
          <xdr:grpSpPr bwMode="auto">
            <a:xfrm>
              <a:off x="461881" y="809339"/>
              <a:ext cx="0" cy="0"/>
              <a:chOff x="461881" y="80933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5" name="Group 414"/>
            <xdr:cNvGrpSpPr>
              <a:grpSpLocks/>
            </xdr:cNvGrpSpPr>
          </xdr:nvGrpSpPr>
          <xdr:grpSpPr bwMode="auto">
            <a:xfrm>
              <a:off x="461434" y="402515"/>
              <a:ext cx="0" cy="0"/>
              <a:chOff x="4614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6" name="Group 403"/>
            <xdr:cNvGrpSpPr>
              <a:grpSpLocks/>
            </xdr:cNvGrpSpPr>
          </xdr:nvGrpSpPr>
          <xdr:grpSpPr bwMode="auto">
            <a:xfrm>
              <a:off x="461881" y="809339"/>
              <a:ext cx="0" cy="0"/>
              <a:chOff x="461881" y="80933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7" name="Group 414"/>
            <xdr:cNvGrpSpPr>
              <a:grpSpLocks/>
            </xdr:cNvGrpSpPr>
          </xdr:nvGrpSpPr>
          <xdr:grpSpPr bwMode="auto">
            <a:xfrm>
              <a:off x="461434" y="402515"/>
              <a:ext cx="0" cy="0"/>
              <a:chOff x="4614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8" name="Group 403"/>
            <xdr:cNvGrpSpPr>
              <a:grpSpLocks/>
            </xdr:cNvGrpSpPr>
          </xdr:nvGrpSpPr>
          <xdr:grpSpPr bwMode="auto">
            <a:xfrm>
              <a:off x="461881" y="809339"/>
              <a:ext cx="0" cy="0"/>
              <a:chOff x="461881" y="80933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9" name="Group 414"/>
            <xdr:cNvGrpSpPr>
              <a:grpSpLocks/>
            </xdr:cNvGrpSpPr>
          </xdr:nvGrpSpPr>
          <xdr:grpSpPr bwMode="auto">
            <a:xfrm>
              <a:off x="461434" y="402515"/>
              <a:ext cx="0" cy="0"/>
              <a:chOff x="4614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4</xdr:row>
          <xdr:rowOff>85439</xdr:rowOff>
        </xdr:from>
        <xdr:to>
          <xdr:col>1</xdr:col>
          <xdr:colOff>4681</xdr:colOff>
          <xdr:row>4</xdr:row>
          <xdr:rowOff>85439</xdr:rowOff>
        </xdr:to>
        <xdr:grpSp>
          <xdr:nvGrpSpPr>
            <xdr:cNvPr id="10" name="Group 403"/>
            <xdr:cNvGrpSpPr>
              <a:grpSpLocks/>
            </xdr:cNvGrpSpPr>
          </xdr:nvGrpSpPr>
          <xdr:grpSpPr bwMode="auto">
            <a:xfrm>
              <a:off x="461881" y="1018889"/>
              <a:ext cx="0" cy="0"/>
              <a:chOff x="461881" y="1018889"/>
              <a:chExt cx="0" cy="0"/>
            </a:xfrm>
          </xdr:grpSpPr>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4234</xdr:colOff>
          <xdr:row>0</xdr:row>
          <xdr:rowOff>-18930274</xdr:rowOff>
        </xdr:from>
        <xdr:to>
          <xdr:col>1</xdr:col>
          <xdr:colOff>4234</xdr:colOff>
          <xdr:row>0</xdr:row>
          <xdr:rowOff>-18930274</xdr:rowOff>
        </xdr:to>
        <xdr:grpSp>
          <xdr:nvGrpSpPr>
            <xdr:cNvPr id="2" name="Group 415"/>
            <xdr:cNvGrpSpPr>
              <a:grpSpLocks/>
            </xdr:cNvGrpSpPr>
          </xdr:nvGrpSpPr>
          <xdr:grpSpPr bwMode="auto">
            <a:xfrm>
              <a:off x="575734" y="-18930274"/>
              <a:ext cx="0" cy="0"/>
              <a:chOff x="575734" y="-1893027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14460</xdr:colOff>
          <xdr:row>0</xdr:row>
          <xdr:rowOff>-789392</xdr:rowOff>
        </xdr:from>
        <xdr:to>
          <xdr:col>1</xdr:col>
          <xdr:colOff>14460</xdr:colOff>
          <xdr:row>0</xdr:row>
          <xdr:rowOff>-789392</xdr:rowOff>
        </xdr:to>
        <xdr:grpSp>
          <xdr:nvGrpSpPr>
            <xdr:cNvPr id="3" name="Group 411"/>
            <xdr:cNvGrpSpPr>
              <a:grpSpLocks/>
            </xdr:cNvGrpSpPr>
          </xdr:nvGrpSpPr>
          <xdr:grpSpPr bwMode="auto">
            <a:xfrm>
              <a:off x="585960" y="-789392"/>
              <a:ext cx="0" cy="0"/>
              <a:chOff x="585960" y="-789392"/>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4" name="Group 403"/>
            <xdr:cNvGrpSpPr>
              <a:grpSpLocks/>
            </xdr:cNvGrpSpPr>
          </xdr:nvGrpSpPr>
          <xdr:grpSpPr bwMode="auto">
            <a:xfrm>
              <a:off x="576181" y="809339"/>
              <a:ext cx="0" cy="0"/>
              <a:chOff x="576181" y="80933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5" name="Group 414"/>
            <xdr:cNvGrpSpPr>
              <a:grpSpLocks/>
            </xdr:cNvGrpSpPr>
          </xdr:nvGrpSpPr>
          <xdr:grpSpPr bwMode="auto">
            <a:xfrm>
              <a:off x="575734" y="402515"/>
              <a:ext cx="0" cy="0"/>
              <a:chOff x="5757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6" name="Group 403"/>
            <xdr:cNvGrpSpPr>
              <a:grpSpLocks/>
            </xdr:cNvGrpSpPr>
          </xdr:nvGrpSpPr>
          <xdr:grpSpPr bwMode="auto">
            <a:xfrm>
              <a:off x="576181" y="809339"/>
              <a:ext cx="0" cy="0"/>
              <a:chOff x="576181" y="80933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7" name="Group 414"/>
            <xdr:cNvGrpSpPr>
              <a:grpSpLocks/>
            </xdr:cNvGrpSpPr>
          </xdr:nvGrpSpPr>
          <xdr:grpSpPr bwMode="auto">
            <a:xfrm>
              <a:off x="575734" y="402515"/>
              <a:ext cx="0" cy="0"/>
              <a:chOff x="5757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8" name="Group 403"/>
            <xdr:cNvGrpSpPr>
              <a:grpSpLocks/>
            </xdr:cNvGrpSpPr>
          </xdr:nvGrpSpPr>
          <xdr:grpSpPr bwMode="auto">
            <a:xfrm>
              <a:off x="576181" y="809339"/>
              <a:ext cx="0" cy="0"/>
              <a:chOff x="576181" y="80933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9" name="Group 414"/>
            <xdr:cNvGrpSpPr>
              <a:grpSpLocks/>
            </xdr:cNvGrpSpPr>
          </xdr:nvGrpSpPr>
          <xdr:grpSpPr bwMode="auto">
            <a:xfrm>
              <a:off x="575734" y="402515"/>
              <a:ext cx="0" cy="0"/>
              <a:chOff x="5757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10" name="Group 403"/>
            <xdr:cNvGrpSpPr>
              <a:grpSpLocks/>
            </xdr:cNvGrpSpPr>
          </xdr:nvGrpSpPr>
          <xdr:grpSpPr bwMode="auto">
            <a:xfrm>
              <a:off x="576181" y="809339"/>
              <a:ext cx="0" cy="0"/>
              <a:chOff x="576181" y="80933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11" name="Group 414"/>
            <xdr:cNvGrpSpPr>
              <a:grpSpLocks/>
            </xdr:cNvGrpSpPr>
          </xdr:nvGrpSpPr>
          <xdr:grpSpPr bwMode="auto">
            <a:xfrm>
              <a:off x="575734" y="402515"/>
              <a:ext cx="0" cy="0"/>
              <a:chOff x="5757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4</xdr:row>
          <xdr:rowOff>85439</xdr:rowOff>
        </xdr:from>
        <xdr:to>
          <xdr:col>1</xdr:col>
          <xdr:colOff>4681</xdr:colOff>
          <xdr:row>4</xdr:row>
          <xdr:rowOff>85439</xdr:rowOff>
        </xdr:to>
        <xdr:grpSp>
          <xdr:nvGrpSpPr>
            <xdr:cNvPr id="12" name="Group 403"/>
            <xdr:cNvGrpSpPr>
              <a:grpSpLocks/>
            </xdr:cNvGrpSpPr>
          </xdr:nvGrpSpPr>
          <xdr:grpSpPr bwMode="auto">
            <a:xfrm>
              <a:off x="576181" y="1018889"/>
              <a:ext cx="0" cy="0"/>
              <a:chOff x="576181" y="1018889"/>
              <a:chExt cx="0" cy="0"/>
            </a:xfrm>
          </xdr:grpSpPr>
        </xdr:grp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4234</xdr:colOff>
          <xdr:row>0</xdr:row>
          <xdr:rowOff>-18930274</xdr:rowOff>
        </xdr:from>
        <xdr:to>
          <xdr:col>1</xdr:col>
          <xdr:colOff>4234</xdr:colOff>
          <xdr:row>0</xdr:row>
          <xdr:rowOff>-18930274</xdr:rowOff>
        </xdr:to>
        <xdr:grpSp>
          <xdr:nvGrpSpPr>
            <xdr:cNvPr id="2" name="Group 415"/>
            <xdr:cNvGrpSpPr>
              <a:grpSpLocks/>
            </xdr:cNvGrpSpPr>
          </xdr:nvGrpSpPr>
          <xdr:grpSpPr bwMode="auto">
            <a:xfrm>
              <a:off x="509059" y="-18930274"/>
              <a:ext cx="0" cy="0"/>
              <a:chOff x="509059" y="-1893027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14460</xdr:colOff>
          <xdr:row>0</xdr:row>
          <xdr:rowOff>-789392</xdr:rowOff>
        </xdr:from>
        <xdr:to>
          <xdr:col>1</xdr:col>
          <xdr:colOff>14460</xdr:colOff>
          <xdr:row>0</xdr:row>
          <xdr:rowOff>-789392</xdr:rowOff>
        </xdr:to>
        <xdr:grpSp>
          <xdr:nvGrpSpPr>
            <xdr:cNvPr id="3" name="Group 411"/>
            <xdr:cNvGrpSpPr>
              <a:grpSpLocks/>
            </xdr:cNvGrpSpPr>
          </xdr:nvGrpSpPr>
          <xdr:grpSpPr bwMode="auto">
            <a:xfrm>
              <a:off x="519285" y="-789392"/>
              <a:ext cx="0" cy="0"/>
              <a:chOff x="519285" y="-789392"/>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4" name="Group 403"/>
            <xdr:cNvGrpSpPr>
              <a:grpSpLocks/>
            </xdr:cNvGrpSpPr>
          </xdr:nvGrpSpPr>
          <xdr:grpSpPr bwMode="auto">
            <a:xfrm>
              <a:off x="509506" y="809339"/>
              <a:ext cx="0" cy="0"/>
              <a:chOff x="509506" y="80933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5" name="Group 414"/>
            <xdr:cNvGrpSpPr>
              <a:grpSpLocks/>
            </xdr:cNvGrpSpPr>
          </xdr:nvGrpSpPr>
          <xdr:grpSpPr bwMode="auto">
            <a:xfrm>
              <a:off x="509059" y="402515"/>
              <a:ext cx="0" cy="0"/>
              <a:chOff x="509059"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6" name="Group 403"/>
            <xdr:cNvGrpSpPr>
              <a:grpSpLocks/>
            </xdr:cNvGrpSpPr>
          </xdr:nvGrpSpPr>
          <xdr:grpSpPr bwMode="auto">
            <a:xfrm>
              <a:off x="509506" y="809339"/>
              <a:ext cx="0" cy="0"/>
              <a:chOff x="509506" y="80933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7" name="Group 414"/>
            <xdr:cNvGrpSpPr>
              <a:grpSpLocks/>
            </xdr:cNvGrpSpPr>
          </xdr:nvGrpSpPr>
          <xdr:grpSpPr bwMode="auto">
            <a:xfrm>
              <a:off x="509059" y="402515"/>
              <a:ext cx="0" cy="0"/>
              <a:chOff x="509059"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8" name="Group 403"/>
            <xdr:cNvGrpSpPr>
              <a:grpSpLocks/>
            </xdr:cNvGrpSpPr>
          </xdr:nvGrpSpPr>
          <xdr:grpSpPr bwMode="auto">
            <a:xfrm>
              <a:off x="509506" y="809339"/>
              <a:ext cx="0" cy="0"/>
              <a:chOff x="509506" y="80933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9" name="Group 414"/>
            <xdr:cNvGrpSpPr>
              <a:grpSpLocks/>
            </xdr:cNvGrpSpPr>
          </xdr:nvGrpSpPr>
          <xdr:grpSpPr bwMode="auto">
            <a:xfrm>
              <a:off x="509059" y="402515"/>
              <a:ext cx="0" cy="0"/>
              <a:chOff x="509059"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10" name="Group 403"/>
            <xdr:cNvGrpSpPr>
              <a:grpSpLocks/>
            </xdr:cNvGrpSpPr>
          </xdr:nvGrpSpPr>
          <xdr:grpSpPr bwMode="auto">
            <a:xfrm>
              <a:off x="509506" y="809339"/>
              <a:ext cx="0" cy="0"/>
              <a:chOff x="509506" y="80933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11" name="Group 414"/>
            <xdr:cNvGrpSpPr>
              <a:grpSpLocks/>
            </xdr:cNvGrpSpPr>
          </xdr:nvGrpSpPr>
          <xdr:grpSpPr bwMode="auto">
            <a:xfrm>
              <a:off x="509059" y="402515"/>
              <a:ext cx="0" cy="0"/>
              <a:chOff x="509059"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12" name="Group 403"/>
            <xdr:cNvGrpSpPr>
              <a:grpSpLocks/>
            </xdr:cNvGrpSpPr>
          </xdr:nvGrpSpPr>
          <xdr:grpSpPr bwMode="auto">
            <a:xfrm>
              <a:off x="509506" y="809339"/>
              <a:ext cx="0" cy="0"/>
              <a:chOff x="509506" y="80933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13" name="Group 414"/>
            <xdr:cNvGrpSpPr>
              <a:grpSpLocks/>
            </xdr:cNvGrpSpPr>
          </xdr:nvGrpSpPr>
          <xdr:grpSpPr bwMode="auto">
            <a:xfrm>
              <a:off x="509059" y="402515"/>
              <a:ext cx="0" cy="0"/>
              <a:chOff x="509059"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4</xdr:row>
          <xdr:rowOff>85439</xdr:rowOff>
        </xdr:from>
        <xdr:to>
          <xdr:col>1</xdr:col>
          <xdr:colOff>4681</xdr:colOff>
          <xdr:row>4</xdr:row>
          <xdr:rowOff>85439</xdr:rowOff>
        </xdr:to>
        <xdr:grpSp>
          <xdr:nvGrpSpPr>
            <xdr:cNvPr id="14" name="Group 403"/>
            <xdr:cNvGrpSpPr>
              <a:grpSpLocks/>
            </xdr:cNvGrpSpPr>
          </xdr:nvGrpSpPr>
          <xdr:grpSpPr bwMode="auto">
            <a:xfrm>
              <a:off x="509506" y="1018889"/>
              <a:ext cx="0" cy="0"/>
              <a:chOff x="509506" y="1018889"/>
              <a:chExt cx="0" cy="0"/>
            </a:xfrm>
          </xdr:grpSpPr>
        </xdr:grp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omments" Target="../comments2.xml"/><Relationship Id="rId4" Type="http://schemas.openxmlformats.org/officeDocument/2006/relationships/vmlDrawing" Target="../drawings/vmlDrawing8.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1"/>
    <pageSetUpPr fitToPage="1"/>
  </sheetPr>
  <dimension ref="A1:N286"/>
  <sheetViews>
    <sheetView tabSelected="1" zoomScaleNormal="100" zoomScaleSheetLayoutView="110" workbookViewId="0">
      <selection activeCell="C5" sqref="C5"/>
    </sheetView>
  </sheetViews>
  <sheetFormatPr baseColWidth="10" defaultColWidth="11.42578125" defaultRowHeight="15" x14ac:dyDescent="0.25"/>
  <cols>
    <col min="1" max="1" width="9.140625" style="281" customWidth="1"/>
    <col min="2" max="2" width="10.5703125" style="93" customWidth="1"/>
    <col min="3" max="3" width="46.28515625" style="94" customWidth="1"/>
    <col min="4" max="4" width="34" style="95" customWidth="1"/>
    <col min="5" max="5" width="9.28515625" style="1" customWidth="1"/>
    <col min="6" max="6" width="13.140625" style="2" bestFit="1" customWidth="1"/>
    <col min="7" max="7" width="9" style="243" hidden="1" customWidth="1"/>
    <col min="8" max="8" width="13.28515625" style="244" customWidth="1"/>
    <col min="9" max="10" width="7.140625" style="1" hidden="1" customWidth="1"/>
    <col min="11" max="11" width="17.42578125" style="1" customWidth="1"/>
    <col min="12" max="13" width="34" style="415" customWidth="1"/>
    <col min="14" max="16384" width="11.42578125" style="1"/>
  </cols>
  <sheetData>
    <row r="1" spans="1:13" ht="24.75" customHeight="1" thickTop="1" thickBot="1" x14ac:dyDescent="0.4">
      <c r="A1" s="291"/>
      <c r="B1" s="447" t="s">
        <v>889</v>
      </c>
      <c r="C1" s="448"/>
      <c r="D1" s="448"/>
      <c r="E1" s="398"/>
      <c r="F1" s="449" t="s">
        <v>890</v>
      </c>
      <c r="G1" s="449"/>
      <c r="H1" s="449"/>
      <c r="I1" s="449"/>
      <c r="J1" s="449"/>
      <c r="K1" s="450"/>
      <c r="L1" s="445" t="str">
        <f>F1</f>
        <v xml:space="preserve">  GDR-JA-07 V.1.2 Diciembre 2017</v>
      </c>
      <c r="M1" s="446"/>
    </row>
    <row r="2" spans="1:13" ht="16.5" thickTop="1" thickBot="1" x14ac:dyDescent="0.3">
      <c r="A2" s="292"/>
      <c r="B2" s="28" t="s">
        <v>3</v>
      </c>
      <c r="C2" s="441"/>
      <c r="D2" s="441"/>
      <c r="E2" s="441"/>
      <c r="F2" s="441"/>
      <c r="G2" s="441"/>
      <c r="H2" s="441"/>
      <c r="I2" s="441"/>
      <c r="J2" s="441"/>
      <c r="K2" s="441"/>
      <c r="L2" s="129" t="str">
        <f>IF(LEN(C2)&gt;Listas!A59,Listas!B59,IF(LEN(C2)&lt;Listas!A58,Listas!B58,""))</f>
        <v>Texto  muy breve</v>
      </c>
      <c r="M2" s="130"/>
    </row>
    <row r="3" spans="1:13" ht="16.5" thickTop="1" thickBot="1" x14ac:dyDescent="0.3">
      <c r="A3" s="292"/>
      <c r="B3" s="28" t="s">
        <v>883</v>
      </c>
      <c r="C3" s="441"/>
      <c r="D3" s="441"/>
      <c r="E3" s="263" t="s">
        <v>585</v>
      </c>
      <c r="F3" s="441"/>
      <c r="G3" s="441"/>
      <c r="H3" s="441"/>
      <c r="I3" s="441"/>
      <c r="J3" s="441"/>
      <c r="K3" s="441"/>
      <c r="L3" s="129" t="str">
        <f>IF(LEN(C3)&gt;Listas!A59,Listas!B59,IF(LEN(C3)&lt;Listas!A58,Listas!B58,""))</f>
        <v>Texto  muy breve</v>
      </c>
      <c r="M3" s="130"/>
    </row>
    <row r="4" spans="1:13" ht="16.5" thickTop="1" thickBot="1" x14ac:dyDescent="0.3">
      <c r="A4" s="292"/>
      <c r="B4" s="28" t="s">
        <v>13</v>
      </c>
      <c r="C4" s="441"/>
      <c r="D4" s="441"/>
      <c r="E4" s="422" t="str">
        <f>IF(G4="",Listas!A35,"")</f>
        <v>Municipio no seleccionado</v>
      </c>
      <c r="F4" s="422"/>
      <c r="G4" s="266" t="str">
        <f>IFERROR(LOOKUP(C4,Listas!A11:A21,Listas!B11:B21),"")</f>
        <v/>
      </c>
      <c r="H4" s="107" t="s">
        <v>371</v>
      </c>
      <c r="I4" s="107"/>
      <c r="J4" s="267"/>
      <c r="K4" s="268" t="str">
        <f>IFERROR(LOOKUP(G4,Listas!B11:B21,Listas!C11:C21),"")</f>
        <v/>
      </c>
      <c r="L4" s="129"/>
      <c r="M4" s="130"/>
    </row>
    <row r="5" spans="1:13" ht="16.5" thickTop="1" thickBot="1" x14ac:dyDescent="0.3">
      <c r="A5" s="292"/>
      <c r="B5" s="28" t="s">
        <v>361</v>
      </c>
      <c r="C5" s="131"/>
      <c r="D5" s="422" t="str">
        <f>IF(C5&lt;Listas!A61,Listas!B61,IF(C5&gt;Listas!A62,Listas!B61,""))</f>
        <v>Fecha fuera de convocatoria</v>
      </c>
      <c r="E5" s="422"/>
      <c r="F5" s="132"/>
      <c r="G5" s="266"/>
      <c r="H5" s="439" t="str">
        <f>IF(H18=0,Listas!A28,"")</f>
        <v>No crea empleo</v>
      </c>
      <c r="I5" s="439"/>
      <c r="J5" s="439"/>
      <c r="K5" s="439"/>
      <c r="L5" s="122"/>
      <c r="M5" s="133"/>
    </row>
    <row r="6" spans="1:13" ht="16.5" thickTop="1" thickBot="1" x14ac:dyDescent="0.3">
      <c r="A6" s="292"/>
      <c r="B6" s="28" t="s">
        <v>614</v>
      </c>
      <c r="C6" s="257"/>
      <c r="D6" s="134"/>
      <c r="E6" s="135"/>
      <c r="F6" s="132"/>
      <c r="G6" s="266"/>
      <c r="H6" s="439" t="str">
        <f>IF($H$49=0,Listas!$A$29,"")</f>
        <v>No contribuye a la lucha contra el cambio climático</v>
      </c>
      <c r="I6" s="439"/>
      <c r="J6" s="439"/>
      <c r="K6" s="439"/>
      <c r="L6" s="122"/>
      <c r="M6" s="133"/>
    </row>
    <row r="7" spans="1:13" ht="16.5" thickTop="1" thickBot="1" x14ac:dyDescent="0.3">
      <c r="A7" s="292"/>
      <c r="B7" s="28" t="s">
        <v>613</v>
      </c>
      <c r="C7" s="257"/>
      <c r="D7" s="423" t="str">
        <f>IF(IFERROR(LOOKUP(C8,Listas!A52:A56,Listas!F52:F56),Listas!A37)&lt;&gt;C7,Listas!A38,"")</f>
        <v>El tipo de promotor no esta incluido en esta línea de ayuda</v>
      </c>
      <c r="E7" s="423"/>
      <c r="F7" s="423"/>
      <c r="G7" s="266"/>
      <c r="H7" s="439" t="str">
        <f>IF($H$62=0,Listas!$A$30,"")</f>
        <v>No fomenta la igualdad H/M</v>
      </c>
      <c r="I7" s="439"/>
      <c r="J7" s="439"/>
      <c r="K7" s="439"/>
      <c r="L7" s="122"/>
      <c r="M7" s="133"/>
    </row>
    <row r="8" spans="1:13" ht="16.5" thickTop="1" thickBot="1" x14ac:dyDescent="0.3">
      <c r="A8" s="292"/>
      <c r="B8" s="28" t="s">
        <v>785</v>
      </c>
      <c r="C8" s="440"/>
      <c r="D8" s="440"/>
      <c r="E8" s="440"/>
      <c r="F8" s="440"/>
      <c r="G8" s="266"/>
      <c r="H8" s="439" t="str">
        <f>IF($H$146=0,Listas!$A$31,"")</f>
        <v>No hay innovación</v>
      </c>
      <c r="I8" s="439"/>
      <c r="J8" s="439"/>
      <c r="K8" s="439"/>
      <c r="L8" s="136"/>
      <c r="M8" s="137"/>
    </row>
    <row r="9" spans="1:13" ht="16.5" thickTop="1" thickBot="1" x14ac:dyDescent="0.3">
      <c r="A9" s="292"/>
      <c r="B9" s="28" t="s">
        <v>362</v>
      </c>
      <c r="C9" s="138"/>
      <c r="D9" s="139" t="str">
        <f>IFERROR(LOOKUP(C9,Listas!A8:A9,Listas!B8:B9),Listas!A36)</f>
        <v>Seleccione un valor</v>
      </c>
      <c r="E9" s="140"/>
      <c r="F9" s="141"/>
      <c r="G9" s="266">
        <f>IF(C9=Listas!A8,1,2)</f>
        <v>2</v>
      </c>
      <c r="H9" s="439" t="str">
        <f>IF($H$154=0,Listas!$A$32,"")</f>
        <v>No indica necesidades</v>
      </c>
      <c r="I9" s="439"/>
      <c r="J9" s="439"/>
      <c r="K9" s="439"/>
      <c r="L9" s="142"/>
      <c r="M9" s="143"/>
    </row>
    <row r="10" spans="1:13" ht="16.5" thickTop="1" thickBot="1" x14ac:dyDescent="0.3">
      <c r="A10" s="292"/>
      <c r="B10" s="28" t="s">
        <v>551</v>
      </c>
      <c r="C10" s="138"/>
      <c r="D10" s="139" t="str">
        <f>IFERROR(LOOKUP(C10,Listas!A2:A3,Listas!B2:B3),Listas!A36)</f>
        <v>Seleccione un valor</v>
      </c>
      <c r="E10" s="140"/>
      <c r="F10" s="269"/>
      <c r="G10" s="266">
        <f>IF(C10=Listas!A3,1,2)</f>
        <v>2</v>
      </c>
      <c r="H10" s="444" t="s">
        <v>368</v>
      </c>
      <c r="I10" s="270"/>
      <c r="J10" s="443">
        <f>K14+K41+K45+K49+K62+K76+K86+K90+K98+K103+K112+K146+K154</f>
        <v>0</v>
      </c>
      <c r="K10" s="443"/>
      <c r="L10" s="144" t="str">
        <f>IF(J10&lt;25,Listas!A33,"")</f>
        <v>Puntuación &lt; 25</v>
      </c>
      <c r="M10" s="145"/>
    </row>
    <row r="11" spans="1:13" ht="17.25" thickTop="1" thickBot="1" x14ac:dyDescent="0.3">
      <c r="A11" s="292"/>
      <c r="B11" s="31" t="s">
        <v>363</v>
      </c>
      <c r="C11" s="146">
        <f>CuadroPresupuesto!L9</f>
        <v>0</v>
      </c>
      <c r="D11" s="139" t="str">
        <f>IF(C11&lt;Listas!A64,Listas!B64,IF(C11&gt;Listas!A65,Listas!B65,""))</f>
        <v/>
      </c>
      <c r="E11" s="147" t="str">
        <f>Listas!A63</f>
        <v>Inversión Subvencionable</v>
      </c>
      <c r="F11" s="269"/>
      <c r="G11" s="266"/>
      <c r="H11" s="444"/>
      <c r="I11" s="271"/>
      <c r="J11" s="443"/>
      <c r="K11" s="443"/>
      <c r="L11" s="34" t="str">
        <f>IF(H90&gt;90000,Listas!A34,"")</f>
        <v/>
      </c>
      <c r="M11" s="133"/>
    </row>
    <row r="12" spans="1:13" s="411" customFormat="1" ht="16.5" thickTop="1" thickBot="1" x14ac:dyDescent="0.3">
      <c r="A12" s="305" t="s">
        <v>555</v>
      </c>
      <c r="B12" s="442"/>
      <c r="C12" s="442"/>
      <c r="D12" s="442"/>
      <c r="E12" s="442"/>
      <c r="F12" s="442"/>
      <c r="G12" s="442"/>
      <c r="H12" s="442"/>
      <c r="I12" s="442"/>
      <c r="J12" s="442"/>
      <c r="K12" s="442"/>
      <c r="L12" s="35"/>
      <c r="M12" s="35"/>
    </row>
    <row r="13" spans="1:13" s="412" customFormat="1" ht="45.75" thickBot="1" x14ac:dyDescent="0.25">
      <c r="A13" s="293" t="s">
        <v>373</v>
      </c>
      <c r="B13" s="306" t="s">
        <v>90</v>
      </c>
      <c r="C13" s="306" t="s">
        <v>91</v>
      </c>
      <c r="D13" s="307" t="s">
        <v>92</v>
      </c>
      <c r="E13" s="307" t="s">
        <v>93</v>
      </c>
      <c r="F13" s="307" t="s">
        <v>94</v>
      </c>
      <c r="G13" s="307" t="s">
        <v>376</v>
      </c>
      <c r="H13" s="307" t="s">
        <v>375</v>
      </c>
      <c r="I13" s="307"/>
      <c r="J13" s="307"/>
      <c r="K13" s="307" t="s">
        <v>367</v>
      </c>
      <c r="L13" s="148" t="s">
        <v>786</v>
      </c>
      <c r="M13" s="148" t="s">
        <v>787</v>
      </c>
    </row>
    <row r="14" spans="1:13" ht="45.75" thickBot="1" x14ac:dyDescent="0.3">
      <c r="A14" s="294" t="s">
        <v>373</v>
      </c>
      <c r="B14" s="149" t="s">
        <v>32</v>
      </c>
      <c r="C14" s="149" t="s">
        <v>33</v>
      </c>
      <c r="D14" s="150"/>
      <c r="E14" s="151">
        <v>20</v>
      </c>
      <c r="F14" s="152"/>
      <c r="G14" s="153"/>
      <c r="H14" s="154"/>
      <c r="I14" s="155"/>
      <c r="J14" s="155"/>
      <c r="K14" s="156">
        <f>IF((K16+K23+K33)&gt;E14,E14,(K16+K23+K33))</f>
        <v>0</v>
      </c>
      <c r="L14" s="157" t="s">
        <v>556</v>
      </c>
      <c r="M14" s="157" t="s">
        <v>557</v>
      </c>
    </row>
    <row r="15" spans="1:13" ht="15.75" thickBot="1" x14ac:dyDescent="0.3">
      <c r="A15" s="273" t="s">
        <v>788</v>
      </c>
      <c r="B15" s="451" t="s">
        <v>603</v>
      </c>
      <c r="C15" s="452"/>
      <c r="D15" s="452"/>
      <c r="E15" s="452"/>
      <c r="F15" s="452"/>
      <c r="G15" s="452"/>
      <c r="H15" s="452"/>
      <c r="I15" s="452"/>
      <c r="J15" s="452"/>
      <c r="K15" s="453"/>
      <c r="L15" s="37"/>
      <c r="M15" s="37"/>
    </row>
    <row r="16" spans="1:13" ht="15.75" thickBot="1" x14ac:dyDescent="0.3">
      <c r="A16" s="295" t="s">
        <v>374</v>
      </c>
      <c r="B16" s="427" t="s">
        <v>34</v>
      </c>
      <c r="C16" s="427"/>
      <c r="D16" s="427"/>
      <c r="E16" s="158">
        <v>20</v>
      </c>
      <c r="F16" s="159" t="s">
        <v>372</v>
      </c>
      <c r="G16" s="158"/>
      <c r="H16" s="160">
        <f>H18</f>
        <v>0</v>
      </c>
      <c r="I16" s="161"/>
      <c r="J16" s="161"/>
      <c r="K16" s="162">
        <f>IF(SUM(K18:K22)&gt;E16,E16,SUM(K18:K22))</f>
        <v>0</v>
      </c>
      <c r="L16" s="163"/>
      <c r="M16" s="163"/>
    </row>
    <row r="17" spans="1:14" ht="15.75" thickBot="1" x14ac:dyDescent="0.3">
      <c r="A17" s="296" t="s">
        <v>788</v>
      </c>
      <c r="B17" s="424" t="s">
        <v>41</v>
      </c>
      <c r="C17" s="425"/>
      <c r="D17" s="425"/>
      <c r="E17" s="425"/>
      <c r="F17" s="425"/>
      <c r="G17" s="425"/>
      <c r="H17" s="454"/>
      <c r="I17" s="425"/>
      <c r="J17" s="425"/>
      <c r="K17" s="455"/>
      <c r="L17" s="164"/>
      <c r="M17" s="164"/>
    </row>
    <row r="18" spans="1:14" ht="24.75" thickBot="1" x14ac:dyDescent="0.3">
      <c r="A18" s="297" t="s">
        <v>375</v>
      </c>
      <c r="B18" s="165" t="s">
        <v>35</v>
      </c>
      <c r="C18" s="166" t="s">
        <v>36</v>
      </c>
      <c r="D18" s="167" t="s">
        <v>37</v>
      </c>
      <c r="E18" s="168">
        <v>20</v>
      </c>
      <c r="F18" s="169" t="s">
        <v>372</v>
      </c>
      <c r="G18" s="170">
        <v>4</v>
      </c>
      <c r="H18" s="171">
        <f>DatosEmpleo!L13</f>
        <v>0</v>
      </c>
      <c r="I18" s="172"/>
      <c r="J18" s="173"/>
      <c r="K18" s="174">
        <f>H18*G18</f>
        <v>0</v>
      </c>
      <c r="L18" s="169"/>
      <c r="M18" s="169"/>
    </row>
    <row r="19" spans="1:14" ht="24.75" thickBot="1" x14ac:dyDescent="0.3">
      <c r="A19" s="298" t="s">
        <v>375</v>
      </c>
      <c r="B19" s="175" t="s">
        <v>38</v>
      </c>
      <c r="C19" s="176" t="s">
        <v>39</v>
      </c>
      <c r="D19" s="177" t="s">
        <v>40</v>
      </c>
      <c r="E19" s="178">
        <v>20</v>
      </c>
      <c r="F19" s="179" t="s">
        <v>372</v>
      </c>
      <c r="G19" s="117">
        <v>1.5</v>
      </c>
      <c r="H19" s="180">
        <f>DatosEmpleo!E13+DatosEmpleo!G13</f>
        <v>0</v>
      </c>
      <c r="I19" s="181"/>
      <c r="J19" s="182"/>
      <c r="K19" s="183">
        <f t="shared" ref="K19:K22" si="0">H19*G19</f>
        <v>0</v>
      </c>
      <c r="L19" s="179"/>
      <c r="M19" s="179"/>
    </row>
    <row r="20" spans="1:14" ht="36.75" thickBot="1" x14ac:dyDescent="0.3">
      <c r="A20" s="297" t="s">
        <v>375</v>
      </c>
      <c r="B20" s="165" t="s">
        <v>42</v>
      </c>
      <c r="C20" s="166" t="s">
        <v>43</v>
      </c>
      <c r="D20" s="167" t="s">
        <v>44</v>
      </c>
      <c r="E20" s="168">
        <v>20</v>
      </c>
      <c r="F20" s="169" t="s">
        <v>372</v>
      </c>
      <c r="G20" s="170">
        <v>1.5</v>
      </c>
      <c r="H20" s="184">
        <f>DatosEmpleo!G13+DatosEmpleo!H13</f>
        <v>0</v>
      </c>
      <c r="I20" s="172"/>
      <c r="J20" s="173"/>
      <c r="K20" s="174">
        <f t="shared" si="0"/>
        <v>0</v>
      </c>
      <c r="L20" s="169"/>
      <c r="M20" s="169"/>
      <c r="N20" s="413"/>
    </row>
    <row r="21" spans="1:14" ht="36.75" thickBot="1" x14ac:dyDescent="0.3">
      <c r="A21" s="298" t="s">
        <v>375</v>
      </c>
      <c r="B21" s="175" t="s">
        <v>45</v>
      </c>
      <c r="C21" s="176" t="s">
        <v>46</v>
      </c>
      <c r="D21" s="177" t="s">
        <v>47</v>
      </c>
      <c r="E21" s="178">
        <v>20</v>
      </c>
      <c r="F21" s="179" t="s">
        <v>372</v>
      </c>
      <c r="G21" s="117">
        <v>1.5</v>
      </c>
      <c r="H21" s="180">
        <f>DatosEmpleo!I13</f>
        <v>0</v>
      </c>
      <c r="I21" s="181"/>
      <c r="J21" s="182"/>
      <c r="K21" s="183">
        <f t="shared" si="0"/>
        <v>0</v>
      </c>
      <c r="L21" s="179"/>
      <c r="M21" s="179" t="s">
        <v>558</v>
      </c>
    </row>
    <row r="22" spans="1:14" ht="36.75" thickBot="1" x14ac:dyDescent="0.3">
      <c r="A22" s="297" t="s">
        <v>375</v>
      </c>
      <c r="B22" s="165" t="s">
        <v>48</v>
      </c>
      <c r="C22" s="166" t="s">
        <v>49</v>
      </c>
      <c r="D22" s="167" t="s">
        <v>50</v>
      </c>
      <c r="E22" s="168">
        <v>20</v>
      </c>
      <c r="F22" s="169" t="s">
        <v>372</v>
      </c>
      <c r="G22" s="170">
        <v>1.5</v>
      </c>
      <c r="H22" s="184">
        <f>DatosEmpleo!J13</f>
        <v>0</v>
      </c>
      <c r="I22" s="172"/>
      <c r="J22" s="173"/>
      <c r="K22" s="174">
        <f t="shared" si="0"/>
        <v>0</v>
      </c>
      <c r="L22" s="169"/>
      <c r="M22" s="169" t="s">
        <v>559</v>
      </c>
    </row>
    <row r="23" spans="1:14" ht="16.5" thickBot="1" x14ac:dyDescent="0.3">
      <c r="A23" s="295" t="s">
        <v>374</v>
      </c>
      <c r="B23" s="427" t="s">
        <v>51</v>
      </c>
      <c r="C23" s="427"/>
      <c r="D23" s="427"/>
      <c r="E23" s="158">
        <v>6</v>
      </c>
      <c r="F23" s="159" t="s">
        <v>372</v>
      </c>
      <c r="G23" s="158"/>
      <c r="H23" s="160">
        <f>SUM(H25:H32)</f>
        <v>0</v>
      </c>
      <c r="I23" s="185"/>
      <c r="J23" s="185"/>
      <c r="K23" s="156">
        <f>IF(K16&gt;0,IF(SUM(K26:K32)&gt;E23,E23,SUM(K26:K32)),0)</f>
        <v>0</v>
      </c>
      <c r="L23" s="163"/>
      <c r="M23" s="163"/>
    </row>
    <row r="24" spans="1:14" ht="15.75" thickBot="1" x14ac:dyDescent="0.3">
      <c r="A24" s="296" t="s">
        <v>788</v>
      </c>
      <c r="B24" s="424" t="s">
        <v>55</v>
      </c>
      <c r="C24" s="425"/>
      <c r="D24" s="425"/>
      <c r="E24" s="425" t="s">
        <v>359</v>
      </c>
      <c r="F24" s="425"/>
      <c r="G24" s="425"/>
      <c r="H24" s="425"/>
      <c r="I24" s="425"/>
      <c r="J24" s="425"/>
      <c r="K24" s="426"/>
      <c r="L24" s="164"/>
      <c r="M24" s="164"/>
    </row>
    <row r="25" spans="1:14" ht="15.75" thickBot="1" x14ac:dyDescent="0.3">
      <c r="A25" s="296" t="s">
        <v>788</v>
      </c>
      <c r="B25" s="424" t="s">
        <v>604</v>
      </c>
      <c r="C25" s="425"/>
      <c r="D25" s="425"/>
      <c r="E25" s="425"/>
      <c r="F25" s="425"/>
      <c r="G25" s="425"/>
      <c r="H25" s="425"/>
      <c r="I25" s="425"/>
      <c r="J25" s="425"/>
      <c r="K25" s="426"/>
      <c r="L25" s="164"/>
      <c r="M25" s="164"/>
    </row>
    <row r="26" spans="1:14" ht="36.75" thickBot="1" x14ac:dyDescent="0.3">
      <c r="A26" s="297" t="s">
        <v>375</v>
      </c>
      <c r="B26" s="165" t="s">
        <v>52</v>
      </c>
      <c r="C26" s="166" t="s">
        <v>53</v>
      </c>
      <c r="D26" s="167" t="s">
        <v>54</v>
      </c>
      <c r="E26" s="168">
        <v>6</v>
      </c>
      <c r="F26" s="169" t="s">
        <v>372</v>
      </c>
      <c r="G26" s="168">
        <v>1</v>
      </c>
      <c r="H26" s="184">
        <f>DatosEmpleo!L22</f>
        <v>0</v>
      </c>
      <c r="I26" s="172"/>
      <c r="J26" s="173"/>
      <c r="K26" s="174">
        <f t="shared" ref="K26:K32" si="1">IF(H26*G26&gt;E26,E26,H26*G26)</f>
        <v>0</v>
      </c>
      <c r="L26" s="169"/>
      <c r="M26" s="169"/>
    </row>
    <row r="27" spans="1:14" ht="36.75" thickBot="1" x14ac:dyDescent="0.3">
      <c r="A27" s="298" t="s">
        <v>375</v>
      </c>
      <c r="B27" s="175" t="s">
        <v>56</v>
      </c>
      <c r="C27" s="176" t="s">
        <v>57</v>
      </c>
      <c r="D27" s="177" t="s">
        <v>58</v>
      </c>
      <c r="E27" s="178">
        <v>6</v>
      </c>
      <c r="F27" s="179" t="s">
        <v>372</v>
      </c>
      <c r="G27" s="178">
        <v>0.5</v>
      </c>
      <c r="H27" s="180">
        <f>DatosEmpleo!E22+DatosEmpleo!G22</f>
        <v>0</v>
      </c>
      <c r="I27" s="181"/>
      <c r="J27" s="182"/>
      <c r="K27" s="183">
        <f t="shared" si="1"/>
        <v>0</v>
      </c>
      <c r="L27" s="179"/>
      <c r="M27" s="179"/>
    </row>
    <row r="28" spans="1:14" ht="36.75" thickBot="1" x14ac:dyDescent="0.3">
      <c r="A28" s="297" t="s">
        <v>375</v>
      </c>
      <c r="B28" s="165" t="s">
        <v>59</v>
      </c>
      <c r="C28" s="166" t="s">
        <v>60</v>
      </c>
      <c r="D28" s="167" t="s">
        <v>61</v>
      </c>
      <c r="E28" s="168">
        <v>6</v>
      </c>
      <c r="F28" s="169" t="s">
        <v>372</v>
      </c>
      <c r="G28" s="168">
        <v>0.5</v>
      </c>
      <c r="H28" s="184">
        <f>DatosEmpleo!G22+DatosEmpleo!H22</f>
        <v>0</v>
      </c>
      <c r="I28" s="172"/>
      <c r="J28" s="173"/>
      <c r="K28" s="174">
        <f t="shared" si="1"/>
        <v>0</v>
      </c>
      <c r="L28" s="169"/>
      <c r="M28" s="169"/>
    </row>
    <row r="29" spans="1:14" ht="36.75" thickBot="1" x14ac:dyDescent="0.3">
      <c r="A29" s="298" t="s">
        <v>375</v>
      </c>
      <c r="B29" s="175" t="s">
        <v>62</v>
      </c>
      <c r="C29" s="176" t="s">
        <v>63</v>
      </c>
      <c r="D29" s="177" t="s">
        <v>64</v>
      </c>
      <c r="E29" s="178">
        <v>6</v>
      </c>
      <c r="F29" s="179" t="s">
        <v>372</v>
      </c>
      <c r="G29" s="178">
        <v>0.5</v>
      </c>
      <c r="H29" s="180">
        <f>DatosEmpleo!I22</f>
        <v>0</v>
      </c>
      <c r="I29" s="181"/>
      <c r="J29" s="182"/>
      <c r="K29" s="183">
        <f t="shared" si="1"/>
        <v>0</v>
      </c>
      <c r="L29" s="179"/>
      <c r="M29" s="179" t="s">
        <v>558</v>
      </c>
    </row>
    <row r="30" spans="1:14" ht="36.75" thickBot="1" x14ac:dyDescent="0.3">
      <c r="A30" s="297" t="s">
        <v>375</v>
      </c>
      <c r="B30" s="165" t="s">
        <v>65</v>
      </c>
      <c r="C30" s="166" t="s">
        <v>66</v>
      </c>
      <c r="D30" s="167" t="s">
        <v>67</v>
      </c>
      <c r="E30" s="168">
        <v>6</v>
      </c>
      <c r="F30" s="169" t="s">
        <v>372</v>
      </c>
      <c r="G30" s="168">
        <v>0.5</v>
      </c>
      <c r="H30" s="184">
        <f>DatosEmpleo!J22</f>
        <v>0</v>
      </c>
      <c r="I30" s="172"/>
      <c r="J30" s="173"/>
      <c r="K30" s="174">
        <f t="shared" si="1"/>
        <v>0</v>
      </c>
      <c r="L30" s="169"/>
      <c r="M30" s="169" t="s">
        <v>559</v>
      </c>
    </row>
    <row r="31" spans="1:14" ht="48.75" thickBot="1" x14ac:dyDescent="0.3">
      <c r="A31" s="298" t="s">
        <v>375</v>
      </c>
      <c r="B31" s="175" t="s">
        <v>68</v>
      </c>
      <c r="C31" s="176" t="s">
        <v>69</v>
      </c>
      <c r="D31" s="177" t="s">
        <v>70</v>
      </c>
      <c r="E31" s="178">
        <v>6</v>
      </c>
      <c r="F31" s="179" t="s">
        <v>372</v>
      </c>
      <c r="G31" s="178">
        <v>1</v>
      </c>
      <c r="H31" s="180">
        <f>DatosEmpleo!L26</f>
        <v>0</v>
      </c>
      <c r="I31" s="181"/>
      <c r="J31" s="182"/>
      <c r="K31" s="183">
        <f t="shared" si="1"/>
        <v>0</v>
      </c>
      <c r="L31" s="179"/>
      <c r="M31" s="179"/>
    </row>
    <row r="32" spans="1:14" ht="60.75" thickBot="1" x14ac:dyDescent="0.3">
      <c r="A32" s="297" t="s">
        <v>375</v>
      </c>
      <c r="B32" s="165" t="s">
        <v>71</v>
      </c>
      <c r="C32" s="166" t="s">
        <v>72</v>
      </c>
      <c r="D32" s="167" t="s">
        <v>73</v>
      </c>
      <c r="E32" s="168">
        <v>6</v>
      </c>
      <c r="F32" s="169" t="s">
        <v>372</v>
      </c>
      <c r="G32" s="168">
        <v>1</v>
      </c>
      <c r="H32" s="184">
        <f>DatosEmpleo!I26+DatosEmpleo!J26+DatosEmpleo!G26+DatosEmpleo!H26+DatosEmpleo!E26</f>
        <v>0</v>
      </c>
      <c r="I32" s="172"/>
      <c r="J32" s="173"/>
      <c r="K32" s="174">
        <f t="shared" si="1"/>
        <v>0</v>
      </c>
      <c r="L32" s="169"/>
      <c r="M32" s="169"/>
    </row>
    <row r="33" spans="1:13" ht="16.5" thickBot="1" x14ac:dyDescent="0.3">
      <c r="A33" s="295" t="s">
        <v>374</v>
      </c>
      <c r="B33" s="427" t="s">
        <v>882</v>
      </c>
      <c r="C33" s="427"/>
      <c r="D33" s="427"/>
      <c r="E33" s="158">
        <v>6</v>
      </c>
      <c r="F33" s="159" t="s">
        <v>372</v>
      </c>
      <c r="G33" s="185"/>
      <c r="H33" s="160">
        <f>SUM(H35:H40)</f>
        <v>0</v>
      </c>
      <c r="I33" s="185"/>
      <c r="J33" s="185"/>
      <c r="K33" s="156">
        <f>IF(K16&gt;0,IF(SUM(K36:K40)&gt;E33,E33,SUM(K36:K40)),0)</f>
        <v>0</v>
      </c>
      <c r="L33" s="163"/>
      <c r="M33" s="163"/>
    </row>
    <row r="34" spans="1:13" ht="15.75" thickBot="1" x14ac:dyDescent="0.3">
      <c r="A34" s="296" t="s">
        <v>788</v>
      </c>
      <c r="B34" s="424" t="s">
        <v>41</v>
      </c>
      <c r="C34" s="425"/>
      <c r="D34" s="425" t="s">
        <v>55</v>
      </c>
      <c r="E34" s="425"/>
      <c r="F34" s="425"/>
      <c r="G34" s="425"/>
      <c r="H34" s="425"/>
      <c r="I34" s="425"/>
      <c r="J34" s="425"/>
      <c r="K34" s="426"/>
      <c r="L34" s="164"/>
      <c r="M34" s="164"/>
    </row>
    <row r="35" spans="1:13" ht="15.75" thickBot="1" x14ac:dyDescent="0.3">
      <c r="A35" s="296" t="s">
        <v>788</v>
      </c>
      <c r="B35" s="424" t="s">
        <v>605</v>
      </c>
      <c r="C35" s="425"/>
      <c r="D35" s="425"/>
      <c r="E35" s="425"/>
      <c r="F35" s="425"/>
      <c r="G35" s="425"/>
      <c r="H35" s="425"/>
      <c r="I35" s="425"/>
      <c r="J35" s="425"/>
      <c r="K35" s="426"/>
      <c r="L35" s="164"/>
      <c r="M35" s="164"/>
    </row>
    <row r="36" spans="1:13" ht="36.75" thickBot="1" x14ac:dyDescent="0.3">
      <c r="A36" s="297" t="s">
        <v>375</v>
      </c>
      <c r="B36" s="165" t="s">
        <v>74</v>
      </c>
      <c r="C36" s="166" t="s">
        <v>75</v>
      </c>
      <c r="D36" s="167" t="s">
        <v>76</v>
      </c>
      <c r="E36" s="168">
        <v>6</v>
      </c>
      <c r="F36" s="169" t="s">
        <v>372</v>
      </c>
      <c r="G36" s="168">
        <v>1.5</v>
      </c>
      <c r="H36" s="184">
        <f>DatosEmpleo!L31</f>
        <v>0</v>
      </c>
      <c r="I36" s="172"/>
      <c r="J36" s="173"/>
      <c r="K36" s="174">
        <f t="shared" ref="K36:K39" si="2">IF(H36*G36&gt;E36,E36,H36*G36)</f>
        <v>0</v>
      </c>
      <c r="L36" s="169"/>
      <c r="M36" s="169"/>
    </row>
    <row r="37" spans="1:13" ht="60.75" thickBot="1" x14ac:dyDescent="0.3">
      <c r="A37" s="298" t="s">
        <v>375</v>
      </c>
      <c r="B37" s="175" t="s">
        <v>77</v>
      </c>
      <c r="C37" s="176" t="s">
        <v>78</v>
      </c>
      <c r="D37" s="177" t="s">
        <v>79</v>
      </c>
      <c r="E37" s="178">
        <v>6</v>
      </c>
      <c r="F37" s="179" t="s">
        <v>372</v>
      </c>
      <c r="G37" s="178">
        <v>0.5</v>
      </c>
      <c r="H37" s="180">
        <f>DatosEmpleo!I31+DatosEmpleo!E31+DatosEmpleo!G31+DatosEmpleo!H31+DatosEmpleo!J31</f>
        <v>0</v>
      </c>
      <c r="I37" s="181"/>
      <c r="J37" s="182"/>
      <c r="K37" s="183">
        <f t="shared" si="2"/>
        <v>0</v>
      </c>
      <c r="L37" s="179"/>
      <c r="M37" s="179" t="s">
        <v>560</v>
      </c>
    </row>
    <row r="38" spans="1:13" ht="36.75" thickBot="1" x14ac:dyDescent="0.3">
      <c r="A38" s="297" t="s">
        <v>375</v>
      </c>
      <c r="B38" s="165" t="s">
        <v>80</v>
      </c>
      <c r="C38" s="166" t="s">
        <v>81</v>
      </c>
      <c r="D38" s="167" t="s">
        <v>82</v>
      </c>
      <c r="E38" s="168">
        <v>6</v>
      </c>
      <c r="F38" s="169" t="s">
        <v>372</v>
      </c>
      <c r="G38" s="168">
        <v>1.5</v>
      </c>
      <c r="H38" s="184">
        <f>DatosEmpleo!L33</f>
        <v>0</v>
      </c>
      <c r="I38" s="172"/>
      <c r="J38" s="173"/>
      <c r="K38" s="174">
        <f t="shared" si="2"/>
        <v>0</v>
      </c>
      <c r="L38" s="169"/>
      <c r="M38" s="169"/>
    </row>
    <row r="39" spans="1:13" ht="57" thickBot="1" x14ac:dyDescent="0.3">
      <c r="A39" s="298" t="s">
        <v>375</v>
      </c>
      <c r="B39" s="175" t="s">
        <v>83</v>
      </c>
      <c r="C39" s="176" t="s">
        <v>84</v>
      </c>
      <c r="D39" s="177" t="s">
        <v>85</v>
      </c>
      <c r="E39" s="178">
        <v>6</v>
      </c>
      <c r="F39" s="179" t="s">
        <v>372</v>
      </c>
      <c r="G39" s="178">
        <v>0.5</v>
      </c>
      <c r="H39" s="180">
        <f>DatosEmpleo!I33+DatosEmpleo!J33+DatosEmpleo!H33+DatosEmpleo!G33+DatosEmpleo!E33</f>
        <v>0</v>
      </c>
      <c r="I39" s="181"/>
      <c r="J39" s="182"/>
      <c r="K39" s="183">
        <f t="shared" si="2"/>
        <v>0</v>
      </c>
      <c r="L39" s="179"/>
      <c r="M39" s="179" t="s">
        <v>560</v>
      </c>
    </row>
    <row r="40" spans="1:13" ht="60.75" thickBot="1" x14ac:dyDescent="0.3">
      <c r="A40" s="297" t="s">
        <v>375</v>
      </c>
      <c r="B40" s="165" t="s">
        <v>86</v>
      </c>
      <c r="C40" s="166" t="s">
        <v>87</v>
      </c>
      <c r="D40" s="167" t="s">
        <v>88</v>
      </c>
      <c r="E40" s="168">
        <v>2</v>
      </c>
      <c r="F40" s="169" t="s">
        <v>372</v>
      </c>
      <c r="G40" s="168">
        <v>0.5</v>
      </c>
      <c r="H40" s="184">
        <f>DatosEmpleo!K13+DatosEmpleo!K22+DatosEmpleo!K31</f>
        <v>0</v>
      </c>
      <c r="I40" s="172"/>
      <c r="J40" s="173"/>
      <c r="K40" s="174">
        <f>IF(H40*G40&gt;E40,E40,H40*G40)</f>
        <v>0</v>
      </c>
      <c r="L40" s="169"/>
      <c r="M40" s="169" t="s">
        <v>561</v>
      </c>
    </row>
    <row r="41" spans="1:13" ht="24.75" thickBot="1" x14ac:dyDescent="0.3">
      <c r="A41" s="299" t="s">
        <v>374</v>
      </c>
      <c r="B41" s="186" t="s">
        <v>95</v>
      </c>
      <c r="C41" s="186" t="s">
        <v>96</v>
      </c>
      <c r="D41" s="187" t="s">
        <v>41</v>
      </c>
      <c r="E41" s="188">
        <v>7</v>
      </c>
      <c r="F41" s="189"/>
      <c r="G41" s="190"/>
      <c r="H41" s="154"/>
      <c r="I41" s="154"/>
      <c r="J41" s="154"/>
      <c r="K41" s="156">
        <f>SUM(K42:K44)</f>
        <v>0</v>
      </c>
      <c r="L41" s="191" t="s">
        <v>562</v>
      </c>
      <c r="M41" s="191" t="s">
        <v>563</v>
      </c>
    </row>
    <row r="42" spans="1:13" ht="30.75" thickBot="1" x14ac:dyDescent="0.3">
      <c r="A42" s="300" t="s">
        <v>375</v>
      </c>
      <c r="B42" s="192" t="s">
        <v>97</v>
      </c>
      <c r="C42" s="193" t="s">
        <v>98</v>
      </c>
      <c r="D42" s="194" t="s">
        <v>99</v>
      </c>
      <c r="E42" s="195">
        <v>4</v>
      </c>
      <c r="F42" s="196" t="s">
        <v>100</v>
      </c>
      <c r="G42" s="168">
        <v>4</v>
      </c>
      <c r="H42" s="197">
        <f>IF($K$4=1,1,0)</f>
        <v>0</v>
      </c>
      <c r="I42" s="198"/>
      <c r="J42" s="168"/>
      <c r="K42" s="183">
        <f t="shared" ref="K42:K43" si="3">IF(H42*G42&gt;E42,E42,H42*G42)</f>
        <v>0</v>
      </c>
      <c r="L42" s="196"/>
      <c r="M42" s="196"/>
    </row>
    <row r="43" spans="1:13" ht="30.75" thickBot="1" x14ac:dyDescent="0.3">
      <c r="A43" s="298" t="s">
        <v>375</v>
      </c>
      <c r="B43" s="175" t="s">
        <v>101</v>
      </c>
      <c r="C43" s="176" t="s">
        <v>102</v>
      </c>
      <c r="D43" s="177" t="s">
        <v>103</v>
      </c>
      <c r="E43" s="178">
        <v>5</v>
      </c>
      <c r="F43" s="179" t="s">
        <v>100</v>
      </c>
      <c r="G43" s="178">
        <v>5</v>
      </c>
      <c r="H43" s="199">
        <f>IF($K$4=2,1,0)</f>
        <v>0</v>
      </c>
      <c r="I43" s="200"/>
      <c r="J43" s="178"/>
      <c r="K43" s="201">
        <f t="shared" si="3"/>
        <v>0</v>
      </c>
      <c r="L43" s="179"/>
      <c r="M43" s="179"/>
    </row>
    <row r="44" spans="1:13" ht="30.75" thickBot="1" x14ac:dyDescent="0.3">
      <c r="A44" s="297" t="s">
        <v>375</v>
      </c>
      <c r="B44" s="165" t="s">
        <v>104</v>
      </c>
      <c r="C44" s="166" t="s">
        <v>105</v>
      </c>
      <c r="D44" s="167" t="s">
        <v>106</v>
      </c>
      <c r="E44" s="168">
        <v>7</v>
      </c>
      <c r="F44" s="169" t="s">
        <v>100</v>
      </c>
      <c r="G44" s="168">
        <v>7</v>
      </c>
      <c r="H44" s="202">
        <f>IF($K$4=3,1,0)</f>
        <v>0</v>
      </c>
      <c r="I44" s="198"/>
      <c r="J44" s="168"/>
      <c r="K44" s="183">
        <f t="shared" ref="K44" si="4">IF(H44*G44&gt;E44,E44,H44*G44)</f>
        <v>0</v>
      </c>
      <c r="L44" s="169"/>
      <c r="M44" s="169"/>
    </row>
    <row r="45" spans="1:13" ht="57" thickBot="1" x14ac:dyDescent="0.3">
      <c r="A45" s="301" t="s">
        <v>373</v>
      </c>
      <c r="B45" s="186" t="s">
        <v>107</v>
      </c>
      <c r="C45" s="186" t="s">
        <v>108</v>
      </c>
      <c r="D45" s="187" t="s">
        <v>109</v>
      </c>
      <c r="E45" s="188">
        <v>5</v>
      </c>
      <c r="F45" s="189"/>
      <c r="G45" s="190"/>
      <c r="H45" s="154"/>
      <c r="I45" s="154"/>
      <c r="J45" s="154"/>
      <c r="K45" s="156">
        <f>SUM(K46:K48)</f>
        <v>0</v>
      </c>
      <c r="L45" s="191" t="s">
        <v>564</v>
      </c>
      <c r="M45" s="191" t="s">
        <v>564</v>
      </c>
    </row>
    <row r="46" spans="1:13" ht="30.75" thickBot="1" x14ac:dyDescent="0.3">
      <c r="A46" s="297" t="s">
        <v>375</v>
      </c>
      <c r="B46" s="165" t="s">
        <v>110</v>
      </c>
      <c r="C46" s="166" t="s">
        <v>111</v>
      </c>
      <c r="D46" s="167" t="s">
        <v>112</v>
      </c>
      <c r="E46" s="168">
        <v>5</v>
      </c>
      <c r="F46" s="169" t="s">
        <v>100</v>
      </c>
      <c r="G46" s="168">
        <v>5</v>
      </c>
      <c r="H46" s="416" t="s">
        <v>864</v>
      </c>
      <c r="I46" s="198"/>
      <c r="J46" s="168"/>
      <c r="K46" s="183">
        <f>IF(K47+K48=0,IF(H46=Listas!$A$6,AutoBaremo!G46,0),0)</f>
        <v>0</v>
      </c>
      <c r="L46" s="169"/>
      <c r="M46" s="169"/>
    </row>
    <row r="47" spans="1:13" ht="30.75" thickBot="1" x14ac:dyDescent="0.3">
      <c r="A47" s="298" t="s">
        <v>375</v>
      </c>
      <c r="B47" s="175" t="s">
        <v>113</v>
      </c>
      <c r="C47" s="176" t="s">
        <v>114</v>
      </c>
      <c r="D47" s="177" t="s">
        <v>112</v>
      </c>
      <c r="E47" s="178">
        <v>3</v>
      </c>
      <c r="F47" s="179" t="s">
        <v>100</v>
      </c>
      <c r="G47" s="178">
        <v>3</v>
      </c>
      <c r="H47" s="416" t="s">
        <v>864</v>
      </c>
      <c r="I47" s="200"/>
      <c r="J47" s="178"/>
      <c r="K47" s="201">
        <f>IF(K48=0,IF(H47=Listas!$A$6,AutoBaremo!G47,0),0)</f>
        <v>0</v>
      </c>
      <c r="L47" s="179"/>
      <c r="M47" s="179"/>
    </row>
    <row r="48" spans="1:13" ht="30.75" thickBot="1" x14ac:dyDescent="0.3">
      <c r="A48" s="297" t="s">
        <v>375</v>
      </c>
      <c r="B48" s="165" t="s">
        <v>115</v>
      </c>
      <c r="C48" s="166" t="s">
        <v>116</v>
      </c>
      <c r="D48" s="167" t="s">
        <v>112</v>
      </c>
      <c r="E48" s="168">
        <v>2</v>
      </c>
      <c r="F48" s="169" t="s">
        <v>100</v>
      </c>
      <c r="G48" s="168">
        <v>2</v>
      </c>
      <c r="H48" s="416" t="b">
        <v>0</v>
      </c>
      <c r="I48" s="198"/>
      <c r="J48" s="168"/>
      <c r="K48" s="183">
        <f>IF(H48=Listas!$A$6,AutoBaremo!G48,0)</f>
        <v>0</v>
      </c>
      <c r="L48" s="169"/>
      <c r="M48" s="169"/>
    </row>
    <row r="49" spans="1:13" ht="48" thickBot="1" x14ac:dyDescent="0.3">
      <c r="A49" s="301" t="s">
        <v>373</v>
      </c>
      <c r="B49" s="186" t="s">
        <v>117</v>
      </c>
      <c r="C49" s="186" t="s">
        <v>118</v>
      </c>
      <c r="D49" s="187" t="s">
        <v>119</v>
      </c>
      <c r="E49" s="188">
        <v>10</v>
      </c>
      <c r="F49" s="189"/>
      <c r="G49" s="190"/>
      <c r="H49" s="154">
        <f>COUNTIF(H51:H61,Listas!A3)</f>
        <v>0</v>
      </c>
      <c r="I49" s="154"/>
      <c r="J49" s="154"/>
      <c r="K49" s="156">
        <f>IF(SUM(K51:K61)&gt;E49,E49,SUM(K51:K61))</f>
        <v>0</v>
      </c>
      <c r="L49" s="191" t="s">
        <v>562</v>
      </c>
      <c r="M49" s="191" t="s">
        <v>586</v>
      </c>
    </row>
    <row r="50" spans="1:13" ht="15.75" thickBot="1" x14ac:dyDescent="0.3">
      <c r="A50" s="296" t="s">
        <v>788</v>
      </c>
      <c r="B50" s="424" t="s">
        <v>789</v>
      </c>
      <c r="C50" s="425"/>
      <c r="D50" s="425"/>
      <c r="E50" s="425"/>
      <c r="F50" s="425"/>
      <c r="G50" s="425"/>
      <c r="H50" s="425"/>
      <c r="I50" s="425"/>
      <c r="J50" s="425"/>
      <c r="K50" s="426"/>
      <c r="L50" s="164"/>
      <c r="M50" s="164"/>
    </row>
    <row r="51" spans="1:13" ht="45.75" thickBot="1" x14ac:dyDescent="0.3">
      <c r="A51" s="297" t="s">
        <v>375</v>
      </c>
      <c r="B51" s="165" t="s">
        <v>120</v>
      </c>
      <c r="C51" s="166" t="s">
        <v>121</v>
      </c>
      <c r="D51" s="167" t="s">
        <v>122</v>
      </c>
      <c r="E51" s="168">
        <v>4</v>
      </c>
      <c r="F51" s="169" t="s">
        <v>583</v>
      </c>
      <c r="G51" s="168">
        <v>4</v>
      </c>
      <c r="H51" s="203" t="s">
        <v>365</v>
      </c>
      <c r="I51" s="198"/>
      <c r="J51" s="168"/>
      <c r="K51" s="183">
        <f>IF(H51=Listas!$A$3,AutoBaremo!G51,0)</f>
        <v>0</v>
      </c>
      <c r="L51" s="169"/>
      <c r="M51" s="169" t="s">
        <v>774</v>
      </c>
    </row>
    <row r="52" spans="1:13" ht="48.75" thickBot="1" x14ac:dyDescent="0.3">
      <c r="A52" s="298" t="s">
        <v>375</v>
      </c>
      <c r="B52" s="175" t="s">
        <v>123</v>
      </c>
      <c r="C52" s="176" t="s">
        <v>124</v>
      </c>
      <c r="D52" s="177" t="s">
        <v>125</v>
      </c>
      <c r="E52" s="178">
        <v>2</v>
      </c>
      <c r="F52" s="179" t="s">
        <v>583</v>
      </c>
      <c r="G52" s="178">
        <v>2</v>
      </c>
      <c r="H52" s="203" t="s">
        <v>365</v>
      </c>
      <c r="I52" s="178"/>
      <c r="J52" s="178"/>
      <c r="K52" s="201">
        <f>IF(H52=Listas!$A$3,AutoBaremo!G52,0)</f>
        <v>0</v>
      </c>
      <c r="L52" s="179" t="s">
        <v>768</v>
      </c>
      <c r="M52" s="179"/>
    </row>
    <row r="53" spans="1:13" ht="45.75" thickBot="1" x14ac:dyDescent="0.3">
      <c r="A53" s="297" t="s">
        <v>375</v>
      </c>
      <c r="B53" s="165" t="s">
        <v>126</v>
      </c>
      <c r="C53" s="166" t="s">
        <v>127</v>
      </c>
      <c r="D53" s="167" t="s">
        <v>122</v>
      </c>
      <c r="E53" s="168">
        <v>4</v>
      </c>
      <c r="F53" s="169" t="s">
        <v>583</v>
      </c>
      <c r="G53" s="168">
        <v>4</v>
      </c>
      <c r="H53" s="203" t="s">
        <v>365</v>
      </c>
      <c r="I53" s="198"/>
      <c r="J53" s="168"/>
      <c r="K53" s="183">
        <f>IF(H53=Listas!$A$3,AutoBaremo!G53,0)</f>
        <v>0</v>
      </c>
      <c r="L53" s="169"/>
      <c r="M53" s="169" t="s">
        <v>775</v>
      </c>
    </row>
    <row r="54" spans="1:13" ht="48.75" thickBot="1" x14ac:dyDescent="0.3">
      <c r="A54" s="298" t="s">
        <v>375</v>
      </c>
      <c r="B54" s="175" t="s">
        <v>128</v>
      </c>
      <c r="C54" s="176" t="s">
        <v>129</v>
      </c>
      <c r="D54" s="177" t="s">
        <v>125</v>
      </c>
      <c r="E54" s="178">
        <v>2</v>
      </c>
      <c r="F54" s="179" t="s">
        <v>583</v>
      </c>
      <c r="G54" s="178">
        <v>2</v>
      </c>
      <c r="H54" s="203" t="s">
        <v>365</v>
      </c>
      <c r="I54" s="178"/>
      <c r="J54" s="178"/>
      <c r="K54" s="201">
        <f>IF(H54=Listas!$A$3,AutoBaremo!G54,0)</f>
        <v>0</v>
      </c>
      <c r="L54" s="179" t="s">
        <v>769</v>
      </c>
      <c r="M54" s="179" t="s">
        <v>775</v>
      </c>
    </row>
    <row r="55" spans="1:13" ht="48.75" thickBot="1" x14ac:dyDescent="0.3">
      <c r="A55" s="297" t="s">
        <v>375</v>
      </c>
      <c r="B55" s="165" t="s">
        <v>130</v>
      </c>
      <c r="C55" s="166" t="s">
        <v>131</v>
      </c>
      <c r="D55" s="167" t="s">
        <v>132</v>
      </c>
      <c r="E55" s="168">
        <v>2</v>
      </c>
      <c r="F55" s="169" t="s">
        <v>583</v>
      </c>
      <c r="G55" s="168">
        <v>2</v>
      </c>
      <c r="H55" s="203" t="s">
        <v>365</v>
      </c>
      <c r="I55" s="198"/>
      <c r="J55" s="168"/>
      <c r="K55" s="183">
        <f>IF(H55=Listas!$A$3,AutoBaremo!G55,0)</f>
        <v>0</v>
      </c>
      <c r="L55" s="169" t="s">
        <v>790</v>
      </c>
      <c r="M55" s="169" t="s">
        <v>791</v>
      </c>
    </row>
    <row r="56" spans="1:13" ht="45.75" thickBot="1" x14ac:dyDescent="0.3">
      <c r="A56" s="298" t="s">
        <v>375</v>
      </c>
      <c r="B56" s="175" t="s">
        <v>133</v>
      </c>
      <c r="C56" s="176" t="s">
        <v>134</v>
      </c>
      <c r="D56" s="177" t="s">
        <v>122</v>
      </c>
      <c r="E56" s="178">
        <v>4</v>
      </c>
      <c r="F56" s="179" t="s">
        <v>583</v>
      </c>
      <c r="G56" s="178">
        <v>4</v>
      </c>
      <c r="H56" s="203" t="s">
        <v>365</v>
      </c>
      <c r="I56" s="178"/>
      <c r="J56" s="178"/>
      <c r="K56" s="201">
        <f>IF(H56=Listas!$A$3,AutoBaremo!G56,0)</f>
        <v>0</v>
      </c>
      <c r="L56" s="179" t="s">
        <v>770</v>
      </c>
      <c r="M56" s="179" t="s">
        <v>776</v>
      </c>
    </row>
    <row r="57" spans="1:13" ht="36.75" thickBot="1" x14ac:dyDescent="0.3">
      <c r="A57" s="297" t="s">
        <v>375</v>
      </c>
      <c r="B57" s="165" t="s">
        <v>135</v>
      </c>
      <c r="C57" s="166" t="s">
        <v>136</v>
      </c>
      <c r="D57" s="167" t="s">
        <v>137</v>
      </c>
      <c r="E57" s="168">
        <v>4</v>
      </c>
      <c r="F57" s="169" t="s">
        <v>583</v>
      </c>
      <c r="G57" s="168">
        <v>4</v>
      </c>
      <c r="H57" s="203" t="s">
        <v>365</v>
      </c>
      <c r="I57" s="198"/>
      <c r="J57" s="168"/>
      <c r="K57" s="183">
        <f>IF(H57=Listas!$A$3,AutoBaremo!G57,0)</f>
        <v>0</v>
      </c>
      <c r="L57" s="169" t="s">
        <v>771</v>
      </c>
      <c r="M57" s="169"/>
    </row>
    <row r="58" spans="1:13" ht="57" thickBot="1" x14ac:dyDescent="0.3">
      <c r="A58" s="298" t="s">
        <v>375</v>
      </c>
      <c r="B58" s="175" t="s">
        <v>138</v>
      </c>
      <c r="C58" s="176" t="s">
        <v>139</v>
      </c>
      <c r="D58" s="177" t="s">
        <v>137</v>
      </c>
      <c r="E58" s="178">
        <v>4</v>
      </c>
      <c r="F58" s="179" t="s">
        <v>583</v>
      </c>
      <c r="G58" s="178">
        <v>4</v>
      </c>
      <c r="H58" s="203" t="s">
        <v>365</v>
      </c>
      <c r="I58" s="178"/>
      <c r="J58" s="178"/>
      <c r="K58" s="201">
        <f>IF(H58=Listas!$A$3,AutoBaremo!G58,0)</f>
        <v>0</v>
      </c>
      <c r="L58" s="179"/>
      <c r="M58" s="179" t="s">
        <v>777</v>
      </c>
    </row>
    <row r="59" spans="1:13" ht="57" thickBot="1" x14ac:dyDescent="0.3">
      <c r="A59" s="297" t="s">
        <v>375</v>
      </c>
      <c r="B59" s="165" t="s">
        <v>140</v>
      </c>
      <c r="C59" s="166" t="s">
        <v>141</v>
      </c>
      <c r="D59" s="167" t="s">
        <v>142</v>
      </c>
      <c r="E59" s="168">
        <v>2</v>
      </c>
      <c r="F59" s="169" t="s">
        <v>583</v>
      </c>
      <c r="G59" s="168">
        <v>2</v>
      </c>
      <c r="H59" s="203" t="s">
        <v>365</v>
      </c>
      <c r="I59" s="198"/>
      <c r="J59" s="168"/>
      <c r="K59" s="183">
        <f>IF(H59=Listas!$A$3,AutoBaremo!G59,0)</f>
        <v>0</v>
      </c>
      <c r="L59" s="169" t="s">
        <v>772</v>
      </c>
      <c r="M59" s="169" t="s">
        <v>777</v>
      </c>
    </row>
    <row r="60" spans="1:13" ht="57" thickBot="1" x14ac:dyDescent="0.3">
      <c r="A60" s="298" t="s">
        <v>375</v>
      </c>
      <c r="B60" s="175" t="s">
        <v>143</v>
      </c>
      <c r="C60" s="176" t="s">
        <v>144</v>
      </c>
      <c r="D60" s="177" t="s">
        <v>145</v>
      </c>
      <c r="E60" s="178">
        <v>4</v>
      </c>
      <c r="F60" s="179" t="s">
        <v>583</v>
      </c>
      <c r="G60" s="178">
        <v>4</v>
      </c>
      <c r="H60" s="203" t="s">
        <v>365</v>
      </c>
      <c r="I60" s="178"/>
      <c r="J60" s="178"/>
      <c r="K60" s="201">
        <f>IF(H60=Listas!$A$3,AutoBaremo!G60,0)</f>
        <v>0</v>
      </c>
      <c r="L60" s="179"/>
      <c r="M60" s="179" t="s">
        <v>778</v>
      </c>
    </row>
    <row r="61" spans="1:13" ht="57" thickBot="1" x14ac:dyDescent="0.3">
      <c r="A61" s="297" t="s">
        <v>375</v>
      </c>
      <c r="B61" s="165" t="s">
        <v>146</v>
      </c>
      <c r="C61" s="166" t="s">
        <v>147</v>
      </c>
      <c r="D61" s="167" t="s">
        <v>360</v>
      </c>
      <c r="E61" s="168">
        <v>2</v>
      </c>
      <c r="F61" s="169" t="s">
        <v>583</v>
      </c>
      <c r="G61" s="168">
        <v>2</v>
      </c>
      <c r="H61" s="203" t="s">
        <v>365</v>
      </c>
      <c r="I61" s="198"/>
      <c r="J61" s="168"/>
      <c r="K61" s="183">
        <f>IF(H61=Listas!$A$3,AutoBaremo!G61,0)</f>
        <v>0</v>
      </c>
      <c r="L61" s="169" t="s">
        <v>773</v>
      </c>
      <c r="M61" s="169"/>
    </row>
    <row r="62" spans="1:13" ht="63.75" thickBot="1" x14ac:dyDescent="0.3">
      <c r="A62" s="301" t="s">
        <v>373</v>
      </c>
      <c r="B62" s="186" t="s">
        <v>148</v>
      </c>
      <c r="C62" s="186" t="s">
        <v>149</v>
      </c>
      <c r="D62" s="187" t="s">
        <v>119</v>
      </c>
      <c r="E62" s="188">
        <v>10</v>
      </c>
      <c r="F62" s="189"/>
      <c r="G62" s="190"/>
      <c r="H62" s="154">
        <f>COUNTIF(H64:H75,Listas!$A$3)</f>
        <v>0</v>
      </c>
      <c r="I62" s="154"/>
      <c r="J62" s="154"/>
      <c r="K62" s="156">
        <f>IF(SUM(K64:K75)&gt;E62,E62,SUM(K64:K75))</f>
        <v>0</v>
      </c>
      <c r="L62" s="191" t="s">
        <v>565</v>
      </c>
      <c r="M62" s="191" t="str">
        <f>L62</f>
        <v>Memoria; Escrituras de Constitución de Sociedades Mercantiles; Documento de Alta en S. Social y la Declaración Censal de la persona autónoma.</v>
      </c>
    </row>
    <row r="63" spans="1:13" ht="15.75" thickBot="1" x14ac:dyDescent="0.3">
      <c r="A63" s="296" t="s">
        <v>788</v>
      </c>
      <c r="B63" s="424" t="s">
        <v>789</v>
      </c>
      <c r="C63" s="425"/>
      <c r="D63" s="425"/>
      <c r="E63" s="425"/>
      <c r="F63" s="425"/>
      <c r="G63" s="425"/>
      <c r="H63" s="425"/>
      <c r="I63" s="425"/>
      <c r="J63" s="425"/>
      <c r="K63" s="426"/>
      <c r="L63" s="164"/>
      <c r="M63" s="164"/>
    </row>
    <row r="64" spans="1:13" ht="36.75" thickBot="1" x14ac:dyDescent="0.3">
      <c r="A64" s="297" t="s">
        <v>375</v>
      </c>
      <c r="B64" s="165" t="s">
        <v>150</v>
      </c>
      <c r="C64" s="166" t="s">
        <v>151</v>
      </c>
      <c r="D64" s="167" t="s">
        <v>137</v>
      </c>
      <c r="E64" s="168">
        <v>2</v>
      </c>
      <c r="F64" s="169" t="s">
        <v>583</v>
      </c>
      <c r="G64" s="168">
        <v>2</v>
      </c>
      <c r="H64" s="203" t="s">
        <v>365</v>
      </c>
      <c r="I64" s="198"/>
      <c r="J64" s="168"/>
      <c r="K64" s="183">
        <f>IF(H64=Listas!$A$3,AutoBaremo!G64,0)</f>
        <v>0</v>
      </c>
      <c r="L64" s="169"/>
      <c r="M64" s="169"/>
    </row>
    <row r="65" spans="1:13" ht="36.75" thickBot="1" x14ac:dyDescent="0.3">
      <c r="A65" s="298" t="s">
        <v>375</v>
      </c>
      <c r="B65" s="175" t="s">
        <v>152</v>
      </c>
      <c r="C65" s="176" t="s">
        <v>153</v>
      </c>
      <c r="D65" s="177" t="s">
        <v>137</v>
      </c>
      <c r="E65" s="178">
        <v>4</v>
      </c>
      <c r="F65" s="179" t="s">
        <v>583</v>
      </c>
      <c r="G65" s="178">
        <v>4</v>
      </c>
      <c r="H65" s="203" t="s">
        <v>365</v>
      </c>
      <c r="I65" s="178"/>
      <c r="J65" s="178"/>
      <c r="K65" s="201">
        <f>IF(H65=Listas!$A$3,AutoBaremo!G65,0)</f>
        <v>0</v>
      </c>
      <c r="L65" s="179"/>
      <c r="M65" s="179"/>
    </row>
    <row r="66" spans="1:13" ht="36.75" thickBot="1" x14ac:dyDescent="0.3">
      <c r="A66" s="297" t="s">
        <v>375</v>
      </c>
      <c r="B66" s="165" t="s">
        <v>154</v>
      </c>
      <c r="C66" s="166" t="s">
        <v>155</v>
      </c>
      <c r="D66" s="167" t="s">
        <v>137</v>
      </c>
      <c r="E66" s="168">
        <v>2</v>
      </c>
      <c r="F66" s="169" t="s">
        <v>583</v>
      </c>
      <c r="G66" s="168">
        <v>2</v>
      </c>
      <c r="H66" s="203" t="s">
        <v>365</v>
      </c>
      <c r="I66" s="198"/>
      <c r="J66" s="168"/>
      <c r="K66" s="183">
        <f>IF(H66=Listas!$A$3,AutoBaremo!G66,0)</f>
        <v>0</v>
      </c>
      <c r="L66" s="169"/>
      <c r="M66" s="169"/>
    </row>
    <row r="67" spans="1:13" ht="36.75" thickBot="1" x14ac:dyDescent="0.3">
      <c r="A67" s="298" t="s">
        <v>375</v>
      </c>
      <c r="B67" s="175" t="s">
        <v>156</v>
      </c>
      <c r="C67" s="176" t="s">
        <v>157</v>
      </c>
      <c r="D67" s="177" t="s">
        <v>137</v>
      </c>
      <c r="E67" s="178">
        <v>4</v>
      </c>
      <c r="F67" s="179" t="s">
        <v>583</v>
      </c>
      <c r="G67" s="178">
        <v>4</v>
      </c>
      <c r="H67" s="203" t="s">
        <v>365</v>
      </c>
      <c r="I67" s="178"/>
      <c r="J67" s="178"/>
      <c r="K67" s="201">
        <f>IF(H67=Listas!$A$3,AutoBaremo!G67,0)</f>
        <v>0</v>
      </c>
      <c r="L67" s="179"/>
      <c r="M67" s="179"/>
    </row>
    <row r="68" spans="1:13" ht="36.75" thickBot="1" x14ac:dyDescent="0.3">
      <c r="A68" s="297" t="s">
        <v>375</v>
      </c>
      <c r="B68" s="165" t="s">
        <v>158</v>
      </c>
      <c r="C68" s="166" t="s">
        <v>159</v>
      </c>
      <c r="D68" s="167" t="s">
        <v>137</v>
      </c>
      <c r="E68" s="168">
        <v>2</v>
      </c>
      <c r="F68" s="169" t="s">
        <v>583</v>
      </c>
      <c r="G68" s="168">
        <v>2</v>
      </c>
      <c r="H68" s="203" t="s">
        <v>365</v>
      </c>
      <c r="I68" s="198"/>
      <c r="J68" s="168"/>
      <c r="K68" s="183">
        <f>IF(H68=Listas!$A$3,AutoBaremo!G68,0)</f>
        <v>0</v>
      </c>
      <c r="L68" s="169"/>
      <c r="M68" s="169"/>
    </row>
    <row r="69" spans="1:13" ht="36.75" thickBot="1" x14ac:dyDescent="0.3">
      <c r="A69" s="298" t="s">
        <v>375</v>
      </c>
      <c r="B69" s="175" t="s">
        <v>160</v>
      </c>
      <c r="C69" s="176" t="s">
        <v>161</v>
      </c>
      <c r="D69" s="177" t="s">
        <v>137</v>
      </c>
      <c r="E69" s="178">
        <v>4</v>
      </c>
      <c r="F69" s="179" t="s">
        <v>583</v>
      </c>
      <c r="G69" s="178">
        <v>4</v>
      </c>
      <c r="H69" s="203" t="s">
        <v>365</v>
      </c>
      <c r="I69" s="178"/>
      <c r="J69" s="178"/>
      <c r="K69" s="201">
        <f>IF(H69=Listas!$A$3,AutoBaremo!G69,0)</f>
        <v>0</v>
      </c>
      <c r="L69" s="179"/>
      <c r="M69" s="179"/>
    </row>
    <row r="70" spans="1:13" ht="36.75" thickBot="1" x14ac:dyDescent="0.3">
      <c r="A70" s="297" t="s">
        <v>375</v>
      </c>
      <c r="B70" s="165" t="s">
        <v>162</v>
      </c>
      <c r="C70" s="166" t="s">
        <v>163</v>
      </c>
      <c r="D70" s="167" t="s">
        <v>137</v>
      </c>
      <c r="E70" s="168">
        <v>2</v>
      </c>
      <c r="F70" s="169" t="s">
        <v>583</v>
      </c>
      <c r="G70" s="168">
        <v>2</v>
      </c>
      <c r="H70" s="203" t="s">
        <v>365</v>
      </c>
      <c r="I70" s="198"/>
      <c r="J70" s="168"/>
      <c r="K70" s="183">
        <f>IF(H70=Listas!$A$3,AutoBaremo!G70,0)</f>
        <v>0</v>
      </c>
      <c r="L70" s="169"/>
      <c r="M70" s="169"/>
    </row>
    <row r="71" spans="1:13" ht="36.75" thickBot="1" x14ac:dyDescent="0.3">
      <c r="A71" s="298" t="s">
        <v>375</v>
      </c>
      <c r="B71" s="175" t="s">
        <v>164</v>
      </c>
      <c r="C71" s="176" t="s">
        <v>165</v>
      </c>
      <c r="D71" s="177" t="s">
        <v>137</v>
      </c>
      <c r="E71" s="178">
        <v>4</v>
      </c>
      <c r="F71" s="179" t="s">
        <v>583</v>
      </c>
      <c r="G71" s="178">
        <v>4</v>
      </c>
      <c r="H71" s="203" t="s">
        <v>365</v>
      </c>
      <c r="I71" s="178"/>
      <c r="J71" s="178"/>
      <c r="K71" s="201">
        <f>IF(H71=Listas!$A$3,AutoBaremo!G71,0)</f>
        <v>0</v>
      </c>
      <c r="L71" s="179"/>
      <c r="M71" s="179"/>
    </row>
    <row r="72" spans="1:13" ht="45.75" thickBot="1" x14ac:dyDescent="0.3">
      <c r="A72" s="297" t="s">
        <v>375</v>
      </c>
      <c r="B72" s="165" t="s">
        <v>166</v>
      </c>
      <c r="C72" s="166" t="s">
        <v>167</v>
      </c>
      <c r="D72" s="167" t="s">
        <v>168</v>
      </c>
      <c r="E72" s="168">
        <v>2</v>
      </c>
      <c r="F72" s="169" t="s">
        <v>583</v>
      </c>
      <c r="G72" s="168">
        <v>2</v>
      </c>
      <c r="H72" s="203" t="s">
        <v>365</v>
      </c>
      <c r="I72" s="198"/>
      <c r="J72" s="168"/>
      <c r="K72" s="183">
        <f>IF(H72=Listas!$A$3,AutoBaremo!G72,0)</f>
        <v>0</v>
      </c>
      <c r="L72" s="169" t="s">
        <v>566</v>
      </c>
      <c r="M72" s="169" t="s">
        <v>586</v>
      </c>
    </row>
    <row r="73" spans="1:13" ht="45.75" thickBot="1" x14ac:dyDescent="0.3">
      <c r="A73" s="298" t="s">
        <v>375</v>
      </c>
      <c r="B73" s="175" t="s">
        <v>169</v>
      </c>
      <c r="C73" s="176" t="s">
        <v>170</v>
      </c>
      <c r="D73" s="177" t="s">
        <v>171</v>
      </c>
      <c r="E73" s="178">
        <v>2</v>
      </c>
      <c r="F73" s="179" t="s">
        <v>583</v>
      </c>
      <c r="G73" s="178">
        <v>2</v>
      </c>
      <c r="H73" s="203" t="s">
        <v>365</v>
      </c>
      <c r="I73" s="178"/>
      <c r="J73" s="178"/>
      <c r="K73" s="201">
        <f>IF(H73=Listas!$A$3,AutoBaremo!G73,0)</f>
        <v>0</v>
      </c>
      <c r="L73" s="179"/>
      <c r="M73" s="179" t="s">
        <v>587</v>
      </c>
    </row>
    <row r="74" spans="1:13" ht="36.75" thickBot="1" x14ac:dyDescent="0.3">
      <c r="A74" s="297" t="s">
        <v>375</v>
      </c>
      <c r="B74" s="165" t="s">
        <v>172</v>
      </c>
      <c r="C74" s="166" t="s">
        <v>173</v>
      </c>
      <c r="D74" s="167" t="s">
        <v>174</v>
      </c>
      <c r="E74" s="168">
        <v>2</v>
      </c>
      <c r="F74" s="169" t="s">
        <v>583</v>
      </c>
      <c r="G74" s="168">
        <v>2</v>
      </c>
      <c r="H74" s="203" t="s">
        <v>365</v>
      </c>
      <c r="I74" s="198"/>
      <c r="J74" s="168"/>
      <c r="K74" s="183">
        <f>IF(H74=Listas!$A$3,AutoBaremo!G74,0)</f>
        <v>0</v>
      </c>
      <c r="L74" s="169"/>
      <c r="M74" s="169" t="s">
        <v>588</v>
      </c>
    </row>
    <row r="75" spans="1:13" ht="48.75" thickBot="1" x14ac:dyDescent="0.3">
      <c r="A75" s="298" t="s">
        <v>375</v>
      </c>
      <c r="B75" s="175" t="s">
        <v>175</v>
      </c>
      <c r="C75" s="176" t="s">
        <v>176</v>
      </c>
      <c r="D75" s="177" t="s">
        <v>177</v>
      </c>
      <c r="E75" s="178">
        <v>2</v>
      </c>
      <c r="F75" s="179" t="s">
        <v>583</v>
      </c>
      <c r="G75" s="178">
        <v>2</v>
      </c>
      <c r="H75" s="203" t="s">
        <v>365</v>
      </c>
      <c r="I75" s="178"/>
      <c r="J75" s="178"/>
      <c r="K75" s="201">
        <f>IF(H75=Listas!$A$3,AutoBaremo!G75,0)</f>
        <v>0</v>
      </c>
      <c r="L75" s="179"/>
      <c r="M75" s="179" t="s">
        <v>589</v>
      </c>
    </row>
    <row r="76" spans="1:13" ht="45.75" thickBot="1" x14ac:dyDescent="0.3">
      <c r="A76" s="301" t="s">
        <v>373</v>
      </c>
      <c r="B76" s="186" t="s">
        <v>178</v>
      </c>
      <c r="C76" s="186" t="s">
        <v>179</v>
      </c>
      <c r="D76" s="187" t="s">
        <v>41</v>
      </c>
      <c r="E76" s="188">
        <v>5</v>
      </c>
      <c r="F76" s="189"/>
      <c r="G76" s="190"/>
      <c r="H76" s="154"/>
      <c r="I76" s="154"/>
      <c r="J76" s="154"/>
      <c r="K76" s="156">
        <f>IF(SUM(K77:K85)&gt;E76,E76,SUM(K77:K85))</f>
        <v>0</v>
      </c>
      <c r="L76" s="191" t="s">
        <v>567</v>
      </c>
      <c r="M76" s="191" t="s">
        <v>590</v>
      </c>
    </row>
    <row r="77" spans="1:13" ht="24.75" thickBot="1" x14ac:dyDescent="0.3">
      <c r="A77" s="297" t="s">
        <v>375</v>
      </c>
      <c r="B77" s="165" t="s">
        <v>180</v>
      </c>
      <c r="C77" s="166" t="s">
        <v>181</v>
      </c>
      <c r="D77" s="167" t="s">
        <v>112</v>
      </c>
      <c r="E77" s="168">
        <v>5</v>
      </c>
      <c r="F77" s="169" t="s">
        <v>100</v>
      </c>
      <c r="G77" s="168">
        <v>5</v>
      </c>
      <c r="H77" s="203" t="s">
        <v>365</v>
      </c>
      <c r="I77" s="198"/>
      <c r="J77" s="168"/>
      <c r="K77" s="183">
        <f>IF(H77=Listas!$A$3,AutoBaremo!G77,0)</f>
        <v>0</v>
      </c>
      <c r="L77" s="169" t="s">
        <v>566</v>
      </c>
      <c r="M77" s="169"/>
    </row>
    <row r="78" spans="1:13" ht="34.5" thickBot="1" x14ac:dyDescent="0.3">
      <c r="A78" s="298" t="s">
        <v>375</v>
      </c>
      <c r="B78" s="175" t="s">
        <v>182</v>
      </c>
      <c r="C78" s="176" t="s">
        <v>183</v>
      </c>
      <c r="D78" s="177" t="s">
        <v>112</v>
      </c>
      <c r="E78" s="178">
        <v>4</v>
      </c>
      <c r="F78" s="179" t="s">
        <v>891</v>
      </c>
      <c r="G78" s="178">
        <v>4</v>
      </c>
      <c r="H78" s="203" t="s">
        <v>365</v>
      </c>
      <c r="I78" s="200"/>
      <c r="J78" s="178"/>
      <c r="K78" s="201">
        <f>IF(SUM(K79:K81)=0,IF(H78=Listas!$A$3,G78,0),0)</f>
        <v>0</v>
      </c>
      <c r="L78" s="179" t="s">
        <v>566</v>
      </c>
      <c r="M78" s="179"/>
    </row>
    <row r="79" spans="1:13" ht="34.5" thickBot="1" x14ac:dyDescent="0.3">
      <c r="A79" s="297" t="s">
        <v>375</v>
      </c>
      <c r="B79" s="165" t="s">
        <v>184</v>
      </c>
      <c r="C79" s="166" t="s">
        <v>185</v>
      </c>
      <c r="D79" s="167" t="s">
        <v>112</v>
      </c>
      <c r="E79" s="168">
        <v>3</v>
      </c>
      <c r="F79" s="169" t="s">
        <v>891</v>
      </c>
      <c r="G79" s="168">
        <v>3</v>
      </c>
      <c r="H79" s="203" t="s">
        <v>365</v>
      </c>
      <c r="I79" s="198"/>
      <c r="J79" s="168"/>
      <c r="K79" s="183">
        <f>IF(SUM(K80:K81)=0,IF(H79=Listas!$A$3,G79,0),0)</f>
        <v>0</v>
      </c>
      <c r="L79" s="169" t="s">
        <v>566</v>
      </c>
      <c r="M79" s="169"/>
    </row>
    <row r="80" spans="1:13" ht="34.5" thickBot="1" x14ac:dyDescent="0.3">
      <c r="A80" s="298" t="s">
        <v>375</v>
      </c>
      <c r="B80" s="175" t="s">
        <v>186</v>
      </c>
      <c r="C80" s="176" t="s">
        <v>187</v>
      </c>
      <c r="D80" s="177" t="s">
        <v>112</v>
      </c>
      <c r="E80" s="178">
        <v>4</v>
      </c>
      <c r="F80" s="179" t="s">
        <v>891</v>
      </c>
      <c r="G80" s="178">
        <v>4</v>
      </c>
      <c r="H80" s="203" t="s">
        <v>365</v>
      </c>
      <c r="I80" s="200"/>
      <c r="J80" s="178"/>
      <c r="K80" s="183">
        <f>IF(SUM(K81:K81)=0,IF(H80=Listas!$A$3,G80,0),0)</f>
        <v>0</v>
      </c>
      <c r="L80" s="179" t="s">
        <v>566</v>
      </c>
      <c r="M80" s="179" t="s">
        <v>591</v>
      </c>
    </row>
    <row r="81" spans="1:13" ht="34.5" thickBot="1" x14ac:dyDescent="0.3">
      <c r="A81" s="297" t="s">
        <v>375</v>
      </c>
      <c r="B81" s="165" t="s">
        <v>188</v>
      </c>
      <c r="C81" s="166" t="s">
        <v>189</v>
      </c>
      <c r="D81" s="167" t="s">
        <v>112</v>
      </c>
      <c r="E81" s="168">
        <v>3</v>
      </c>
      <c r="F81" s="169" t="s">
        <v>891</v>
      </c>
      <c r="G81" s="168">
        <v>3</v>
      </c>
      <c r="H81" s="203" t="s">
        <v>365</v>
      </c>
      <c r="I81" s="198"/>
      <c r="J81" s="168"/>
      <c r="K81" s="183">
        <f>IF(H81=Listas!$A$3,G81,0)</f>
        <v>0</v>
      </c>
      <c r="L81" s="169" t="s">
        <v>566</v>
      </c>
      <c r="M81" s="169"/>
    </row>
    <row r="82" spans="1:13" ht="34.5" thickBot="1" x14ac:dyDescent="0.3">
      <c r="A82" s="298" t="s">
        <v>375</v>
      </c>
      <c r="B82" s="175" t="s">
        <v>190</v>
      </c>
      <c r="C82" s="176" t="s">
        <v>191</v>
      </c>
      <c r="D82" s="177" t="s">
        <v>112</v>
      </c>
      <c r="E82" s="178">
        <v>3</v>
      </c>
      <c r="F82" s="179" t="s">
        <v>372</v>
      </c>
      <c r="G82" s="178">
        <v>3</v>
      </c>
      <c r="H82" s="203" t="s">
        <v>365</v>
      </c>
      <c r="I82" s="200"/>
      <c r="J82" s="178"/>
      <c r="K82" s="201">
        <f>IF(H82=Listas!$A$3,AutoBaremo!G82,0)</f>
        <v>0</v>
      </c>
      <c r="L82" s="179" t="s">
        <v>566</v>
      </c>
      <c r="M82" s="179" t="s">
        <v>592</v>
      </c>
    </row>
    <row r="83" spans="1:13" ht="30.75" thickBot="1" x14ac:dyDescent="0.3">
      <c r="A83" s="297" t="s">
        <v>375</v>
      </c>
      <c r="B83" s="165" t="s">
        <v>192</v>
      </c>
      <c r="C83" s="166" t="s">
        <v>193</v>
      </c>
      <c r="D83" s="167" t="s">
        <v>112</v>
      </c>
      <c r="E83" s="168">
        <v>3</v>
      </c>
      <c r="F83" s="169" t="s">
        <v>372</v>
      </c>
      <c r="G83" s="168">
        <v>3</v>
      </c>
      <c r="H83" s="203" t="s">
        <v>365</v>
      </c>
      <c r="I83" s="198"/>
      <c r="J83" s="168"/>
      <c r="K83" s="183">
        <f>IF(H83=Listas!$A$3,AutoBaremo!G83,0)</f>
        <v>0</v>
      </c>
      <c r="L83" s="169"/>
      <c r="M83" s="169" t="s">
        <v>593</v>
      </c>
    </row>
    <row r="84" spans="1:13" ht="34.5" thickBot="1" x14ac:dyDescent="0.3">
      <c r="A84" s="298" t="s">
        <v>375</v>
      </c>
      <c r="B84" s="175" t="s">
        <v>194</v>
      </c>
      <c r="C84" s="176" t="s">
        <v>195</v>
      </c>
      <c r="D84" s="177" t="s">
        <v>112</v>
      </c>
      <c r="E84" s="178">
        <v>3</v>
      </c>
      <c r="F84" s="179" t="s">
        <v>372</v>
      </c>
      <c r="G84" s="178">
        <v>3</v>
      </c>
      <c r="H84" s="203" t="s">
        <v>365</v>
      </c>
      <c r="I84" s="200"/>
      <c r="J84" s="178"/>
      <c r="K84" s="183">
        <f>IF(H84=Listas!$A$3,AutoBaremo!G84,0)</f>
        <v>0</v>
      </c>
      <c r="L84" s="179"/>
      <c r="M84" s="179" t="s">
        <v>594</v>
      </c>
    </row>
    <row r="85" spans="1:13" ht="34.5" thickBot="1" x14ac:dyDescent="0.3">
      <c r="A85" s="297" t="s">
        <v>375</v>
      </c>
      <c r="B85" s="165" t="s">
        <v>196</v>
      </c>
      <c r="C85" s="166" t="s">
        <v>197</v>
      </c>
      <c r="D85" s="167" t="s">
        <v>112</v>
      </c>
      <c r="E85" s="168">
        <v>3</v>
      </c>
      <c r="F85" s="169" t="s">
        <v>372</v>
      </c>
      <c r="G85" s="168">
        <v>3</v>
      </c>
      <c r="H85" s="203" t="s">
        <v>365</v>
      </c>
      <c r="I85" s="198"/>
      <c r="J85" s="168"/>
      <c r="K85" s="183">
        <f>IF(H85=Listas!$A$3,AutoBaremo!G85,0)</f>
        <v>0</v>
      </c>
      <c r="L85" s="169" t="s">
        <v>790</v>
      </c>
      <c r="M85" s="169" t="s">
        <v>595</v>
      </c>
    </row>
    <row r="86" spans="1:13" ht="45.75" thickBot="1" x14ac:dyDescent="0.3">
      <c r="A86" s="301" t="s">
        <v>373</v>
      </c>
      <c r="B86" s="186" t="s">
        <v>198</v>
      </c>
      <c r="C86" s="186" t="s">
        <v>199</v>
      </c>
      <c r="D86" s="187" t="s">
        <v>109</v>
      </c>
      <c r="E86" s="188">
        <v>7</v>
      </c>
      <c r="F86" s="189"/>
      <c r="G86" s="190"/>
      <c r="H86" s="154"/>
      <c r="I86" s="154"/>
      <c r="J86" s="154"/>
      <c r="K86" s="156">
        <f>SUM(K87:K89)</f>
        <v>0</v>
      </c>
      <c r="L86" s="191" t="s">
        <v>568</v>
      </c>
      <c r="M86" s="191"/>
    </row>
    <row r="87" spans="1:13" ht="30.75" thickBot="1" x14ac:dyDescent="0.3">
      <c r="A87" s="297" t="s">
        <v>375</v>
      </c>
      <c r="B87" s="165" t="s">
        <v>200</v>
      </c>
      <c r="C87" s="166" t="s">
        <v>201</v>
      </c>
      <c r="D87" s="167" t="s">
        <v>112</v>
      </c>
      <c r="E87" s="168">
        <v>7</v>
      </c>
      <c r="F87" s="169" t="s">
        <v>100</v>
      </c>
      <c r="G87" s="168">
        <v>7</v>
      </c>
      <c r="H87" s="203" t="s">
        <v>864</v>
      </c>
      <c r="I87" s="198"/>
      <c r="J87" s="168"/>
      <c r="K87" s="183">
        <f>IF(K88+K89=0,IF(H87=Listas!$A$6,AutoBaremo!G87,0),0)</f>
        <v>0</v>
      </c>
      <c r="L87" s="169"/>
      <c r="M87" s="169"/>
    </row>
    <row r="88" spans="1:13" ht="30.75" thickBot="1" x14ac:dyDescent="0.3">
      <c r="A88" s="298" t="s">
        <v>375</v>
      </c>
      <c r="B88" s="175" t="s">
        <v>202</v>
      </c>
      <c r="C88" s="176" t="s">
        <v>203</v>
      </c>
      <c r="D88" s="177" t="s">
        <v>112</v>
      </c>
      <c r="E88" s="178">
        <v>5</v>
      </c>
      <c r="F88" s="179" t="s">
        <v>100</v>
      </c>
      <c r="G88" s="178">
        <v>5</v>
      </c>
      <c r="H88" s="203" t="s">
        <v>864</v>
      </c>
      <c r="I88" s="200"/>
      <c r="J88" s="178"/>
      <c r="K88" s="183">
        <f>IF(K89=0,IF(H88=Listas!$A$6,AutoBaremo!G88,0),0)</f>
        <v>0</v>
      </c>
      <c r="L88" s="179"/>
      <c r="M88" s="179"/>
    </row>
    <row r="89" spans="1:13" ht="30.75" thickBot="1" x14ac:dyDescent="0.3">
      <c r="A89" s="297" t="s">
        <v>375</v>
      </c>
      <c r="B89" s="165" t="s">
        <v>204</v>
      </c>
      <c r="C89" s="166" t="s">
        <v>205</v>
      </c>
      <c r="D89" s="167" t="s">
        <v>112</v>
      </c>
      <c r="E89" s="168">
        <v>4</v>
      </c>
      <c r="F89" s="169" t="s">
        <v>100</v>
      </c>
      <c r="G89" s="168">
        <v>4</v>
      </c>
      <c r="H89" s="203" t="s">
        <v>864</v>
      </c>
      <c r="I89" s="198"/>
      <c r="J89" s="168"/>
      <c r="K89" s="183">
        <f>IF(H89=Listas!$A$6,AutoBaremo!G89,0)</f>
        <v>0</v>
      </c>
      <c r="L89" s="169"/>
      <c r="M89" s="169"/>
    </row>
    <row r="90" spans="1:13" ht="96.75" thickBot="1" x14ac:dyDescent="0.3">
      <c r="A90" s="301" t="s">
        <v>373</v>
      </c>
      <c r="B90" s="186" t="s">
        <v>206</v>
      </c>
      <c r="C90" s="186" t="s">
        <v>207</v>
      </c>
      <c r="D90" s="187" t="s">
        <v>208</v>
      </c>
      <c r="E90" s="188">
        <v>7</v>
      </c>
      <c r="F90" s="189"/>
      <c r="G90" s="204">
        <f>H18</f>
        <v>0</v>
      </c>
      <c r="H90" s="205">
        <f>IFERROR($C$11/$H$18,0)</f>
        <v>0</v>
      </c>
      <c r="I90" s="204">
        <f>C11</f>
        <v>0</v>
      </c>
      <c r="J90" s="204"/>
      <c r="K90" s="156">
        <f>IF(SUM(K91:K97)&gt;E90,E90,SUM(K91:K97))</f>
        <v>0</v>
      </c>
      <c r="L90" s="191" t="s">
        <v>569</v>
      </c>
      <c r="M90" s="191" t="s">
        <v>596</v>
      </c>
    </row>
    <row r="91" spans="1:13" ht="45.75" thickBot="1" x14ac:dyDescent="0.3">
      <c r="A91" s="297" t="s">
        <v>375</v>
      </c>
      <c r="B91" s="165" t="s">
        <v>209</v>
      </c>
      <c r="C91" s="166" t="s">
        <v>210</v>
      </c>
      <c r="D91" s="167" t="s">
        <v>211</v>
      </c>
      <c r="E91" s="168">
        <v>7</v>
      </c>
      <c r="F91" s="169" t="s">
        <v>100</v>
      </c>
      <c r="G91" s="168">
        <v>30000</v>
      </c>
      <c r="H91" s="206"/>
      <c r="I91" s="206"/>
      <c r="J91" s="168"/>
      <c r="K91" s="207">
        <f>IF($H$90=0,0,IF($H$90&lt;G91,E91,0))</f>
        <v>0</v>
      </c>
      <c r="L91" s="169"/>
      <c r="M91" s="169"/>
    </row>
    <row r="92" spans="1:13" ht="45.75" thickBot="1" x14ac:dyDescent="0.3">
      <c r="A92" s="298" t="s">
        <v>375</v>
      </c>
      <c r="B92" s="175" t="s">
        <v>212</v>
      </c>
      <c r="C92" s="176" t="s">
        <v>213</v>
      </c>
      <c r="D92" s="177" t="s">
        <v>211</v>
      </c>
      <c r="E92" s="178">
        <v>6</v>
      </c>
      <c r="F92" s="179" t="s">
        <v>100</v>
      </c>
      <c r="G92" s="178">
        <v>50000</v>
      </c>
      <c r="H92" s="178"/>
      <c r="I92" s="178"/>
      <c r="J92" s="178"/>
      <c r="K92" s="208">
        <f>IF(SUM(K$91:K91)=0,IF($H$90=0,0,IF($H$90&lt;G92,E92,0)),0)</f>
        <v>0</v>
      </c>
      <c r="L92" s="179"/>
      <c r="M92" s="179"/>
    </row>
    <row r="93" spans="1:13" ht="45.75" thickBot="1" x14ac:dyDescent="0.3">
      <c r="A93" s="297" t="s">
        <v>375</v>
      </c>
      <c r="B93" s="165" t="s">
        <v>214</v>
      </c>
      <c r="C93" s="166" t="s">
        <v>215</v>
      </c>
      <c r="D93" s="167" t="s">
        <v>211</v>
      </c>
      <c r="E93" s="168">
        <v>5</v>
      </c>
      <c r="F93" s="169" t="s">
        <v>100</v>
      </c>
      <c r="G93" s="168">
        <v>75000</v>
      </c>
      <c r="H93" s="168"/>
      <c r="I93" s="168"/>
      <c r="J93" s="168"/>
      <c r="K93" s="207">
        <f>IF(SUM(K$91:K92)=0,IF($H$90=0,0,IF($H$90&lt;G93,E93,0)),0)</f>
        <v>0</v>
      </c>
      <c r="L93" s="169"/>
      <c r="M93" s="169"/>
    </row>
    <row r="94" spans="1:13" ht="45.75" thickBot="1" x14ac:dyDescent="0.3">
      <c r="A94" s="298" t="s">
        <v>375</v>
      </c>
      <c r="B94" s="175" t="s">
        <v>216</v>
      </c>
      <c r="C94" s="176" t="s">
        <v>217</v>
      </c>
      <c r="D94" s="177" t="s">
        <v>211</v>
      </c>
      <c r="E94" s="178">
        <v>4</v>
      </c>
      <c r="F94" s="179" t="s">
        <v>100</v>
      </c>
      <c r="G94" s="178">
        <v>100000</v>
      </c>
      <c r="H94" s="178"/>
      <c r="I94" s="178"/>
      <c r="J94" s="178"/>
      <c r="K94" s="208">
        <f>IF(SUM(K$91:K93)=0,IF($H$90=0,0,IF($H$90&lt;G94,E94,0)),0)</f>
        <v>0</v>
      </c>
      <c r="L94" s="179"/>
      <c r="M94" s="179"/>
    </row>
    <row r="95" spans="1:13" ht="45.75" thickBot="1" x14ac:dyDescent="0.3">
      <c r="A95" s="297" t="s">
        <v>375</v>
      </c>
      <c r="B95" s="165" t="s">
        <v>218</v>
      </c>
      <c r="C95" s="166" t="s">
        <v>219</v>
      </c>
      <c r="D95" s="167" t="s">
        <v>211</v>
      </c>
      <c r="E95" s="168">
        <v>3</v>
      </c>
      <c r="F95" s="169" t="s">
        <v>100</v>
      </c>
      <c r="G95" s="168">
        <v>125000</v>
      </c>
      <c r="H95" s="168"/>
      <c r="I95" s="168"/>
      <c r="J95" s="168"/>
      <c r="K95" s="207">
        <f>IF(SUM(K$91:K94)=0,IF($H$90=0,0,IF($H$90&lt;G95,E95,0)),0)</f>
        <v>0</v>
      </c>
      <c r="L95" s="169"/>
      <c r="M95" s="169"/>
    </row>
    <row r="96" spans="1:13" ht="45.75" thickBot="1" x14ac:dyDescent="0.3">
      <c r="A96" s="298" t="s">
        <v>375</v>
      </c>
      <c r="B96" s="175" t="s">
        <v>220</v>
      </c>
      <c r="C96" s="176" t="s">
        <v>221</v>
      </c>
      <c r="D96" s="177" t="s">
        <v>211</v>
      </c>
      <c r="E96" s="178">
        <v>2</v>
      </c>
      <c r="F96" s="179" t="s">
        <v>100</v>
      </c>
      <c r="G96" s="178">
        <v>150000</v>
      </c>
      <c r="H96" s="178"/>
      <c r="I96" s="178"/>
      <c r="J96" s="178"/>
      <c r="K96" s="208">
        <f>IF(SUM(K$91:K95)=0,IF($H$90=0,0,IF($H$90&lt;G96,E96,0)),0)</f>
        <v>0</v>
      </c>
      <c r="L96" s="179"/>
      <c r="M96" s="179"/>
    </row>
    <row r="97" spans="1:13" ht="45.75" thickBot="1" x14ac:dyDescent="0.3">
      <c r="A97" s="297" t="s">
        <v>375</v>
      </c>
      <c r="B97" s="165" t="s">
        <v>222</v>
      </c>
      <c r="C97" s="166" t="s">
        <v>223</v>
      </c>
      <c r="D97" s="167" t="s">
        <v>211</v>
      </c>
      <c r="E97" s="168">
        <v>1</v>
      </c>
      <c r="F97" s="169" t="s">
        <v>100</v>
      </c>
      <c r="G97" s="202"/>
      <c r="H97" s="168"/>
      <c r="I97" s="168"/>
      <c r="J97" s="168"/>
      <c r="K97" s="207">
        <f>IF(SUM(K$91:K96)=0,IF($H$90=0,0,IF($H$90&gt;G96,E97,0)),0)</f>
        <v>0</v>
      </c>
      <c r="L97" s="169"/>
      <c r="M97" s="169"/>
    </row>
    <row r="98" spans="1:13" ht="34.5" thickBot="1" x14ac:dyDescent="0.3">
      <c r="A98" s="301" t="s">
        <v>373</v>
      </c>
      <c r="B98" s="186" t="s">
        <v>224</v>
      </c>
      <c r="C98" s="186" t="s">
        <v>225</v>
      </c>
      <c r="D98" s="187" t="s">
        <v>89</v>
      </c>
      <c r="E98" s="188">
        <v>5</v>
      </c>
      <c r="F98" s="189"/>
      <c r="G98" s="190"/>
      <c r="H98" s="154"/>
      <c r="I98" s="154"/>
      <c r="J98" s="154"/>
      <c r="K98" s="156">
        <f>IF(SUM(K99:K102)&gt;E98,E98,SUM(K99:K102))</f>
        <v>0</v>
      </c>
      <c r="L98" s="191" t="s">
        <v>570</v>
      </c>
      <c r="M98" s="191" t="s">
        <v>597</v>
      </c>
    </row>
    <row r="99" spans="1:13" ht="45.75" thickBot="1" x14ac:dyDescent="0.3">
      <c r="A99" s="297" t="s">
        <v>375</v>
      </c>
      <c r="B99" s="165" t="s">
        <v>226</v>
      </c>
      <c r="C99" s="166" t="s">
        <v>227</v>
      </c>
      <c r="D99" s="167" t="s">
        <v>792</v>
      </c>
      <c r="E99" s="168">
        <v>3</v>
      </c>
      <c r="F99" s="169" t="s">
        <v>583</v>
      </c>
      <c r="G99" s="168">
        <v>3</v>
      </c>
      <c r="H99" s="416" t="s">
        <v>365</v>
      </c>
      <c r="I99" s="198"/>
      <c r="J99" s="168"/>
      <c r="K99" s="183">
        <f>IF(H99=Listas!$A$3,AutoBaremo!G99,0)</f>
        <v>0</v>
      </c>
      <c r="L99" s="169"/>
      <c r="M99" s="169"/>
    </row>
    <row r="100" spans="1:13" ht="45.75" thickBot="1" x14ac:dyDescent="0.3">
      <c r="A100" s="298" t="s">
        <v>375</v>
      </c>
      <c r="B100" s="175" t="s">
        <v>228</v>
      </c>
      <c r="C100" s="176" t="s">
        <v>229</v>
      </c>
      <c r="D100" s="177" t="s">
        <v>103</v>
      </c>
      <c r="E100" s="178">
        <v>2</v>
      </c>
      <c r="F100" s="179" t="s">
        <v>583</v>
      </c>
      <c r="G100" s="178">
        <v>2</v>
      </c>
      <c r="H100" s="416" t="s">
        <v>365</v>
      </c>
      <c r="I100" s="178"/>
      <c r="J100" s="178"/>
      <c r="K100" s="201">
        <f>IF(H100=Listas!$A$3,AutoBaremo!G100,0)</f>
        <v>0</v>
      </c>
      <c r="L100" s="179" t="s">
        <v>571</v>
      </c>
      <c r="M100" s="179" t="s">
        <v>571</v>
      </c>
    </row>
    <row r="101" spans="1:13" ht="60.75" thickBot="1" x14ac:dyDescent="0.3">
      <c r="A101" s="297" t="s">
        <v>375</v>
      </c>
      <c r="B101" s="165" t="s">
        <v>230</v>
      </c>
      <c r="C101" s="166" t="s">
        <v>231</v>
      </c>
      <c r="D101" s="167" t="s">
        <v>103</v>
      </c>
      <c r="E101" s="168">
        <v>2</v>
      </c>
      <c r="F101" s="169" t="s">
        <v>583</v>
      </c>
      <c r="G101" s="168">
        <v>2</v>
      </c>
      <c r="H101" s="416" t="s">
        <v>365</v>
      </c>
      <c r="I101" s="198"/>
      <c r="J101" s="168"/>
      <c r="K101" s="183">
        <f>IF(H101=Listas!$A$3,AutoBaremo!G101,0)</f>
        <v>0</v>
      </c>
      <c r="L101" s="169" t="s">
        <v>572</v>
      </c>
      <c r="M101" s="169" t="s">
        <v>572</v>
      </c>
    </row>
    <row r="102" spans="1:13" ht="30.75" thickBot="1" x14ac:dyDescent="0.3">
      <c r="A102" s="298" t="s">
        <v>375</v>
      </c>
      <c r="B102" s="175" t="s">
        <v>232</v>
      </c>
      <c r="C102" s="176" t="s">
        <v>233</v>
      </c>
      <c r="D102" s="177" t="s">
        <v>103</v>
      </c>
      <c r="E102" s="178">
        <v>2</v>
      </c>
      <c r="F102" s="179" t="s">
        <v>583</v>
      </c>
      <c r="G102" s="178">
        <v>2</v>
      </c>
      <c r="H102" s="416" t="s">
        <v>365</v>
      </c>
      <c r="I102" s="178"/>
      <c r="J102" s="178"/>
      <c r="K102" s="201">
        <f>IF(H102=Listas!$A$3,AutoBaremo!G102,0)</f>
        <v>0</v>
      </c>
      <c r="L102" s="179" t="s">
        <v>573</v>
      </c>
      <c r="M102" s="179" t="s">
        <v>793</v>
      </c>
    </row>
    <row r="103" spans="1:13" ht="45.75" thickBot="1" x14ac:dyDescent="0.3">
      <c r="A103" s="301" t="s">
        <v>373</v>
      </c>
      <c r="B103" s="186" t="s">
        <v>234</v>
      </c>
      <c r="C103" s="186" t="s">
        <v>235</v>
      </c>
      <c r="D103" s="187" t="s">
        <v>41</v>
      </c>
      <c r="E103" s="188">
        <v>7</v>
      </c>
      <c r="F103" s="189"/>
      <c r="G103" s="190"/>
      <c r="H103" s="154"/>
      <c r="I103" s="154"/>
      <c r="J103" s="154"/>
      <c r="K103" s="156">
        <f>IF(SUM(K104:K111)&gt;E103,E103,SUM(K104:K111))</f>
        <v>0</v>
      </c>
      <c r="L103" s="191" t="s">
        <v>574</v>
      </c>
      <c r="M103" s="191" t="s">
        <v>590</v>
      </c>
    </row>
    <row r="104" spans="1:13" ht="24.75" thickBot="1" x14ac:dyDescent="0.3">
      <c r="A104" s="297" t="s">
        <v>375</v>
      </c>
      <c r="B104" s="165" t="s">
        <v>236</v>
      </c>
      <c r="C104" s="166" t="s">
        <v>237</v>
      </c>
      <c r="D104" s="167" t="s">
        <v>792</v>
      </c>
      <c r="E104" s="168">
        <v>7</v>
      </c>
      <c r="F104" s="169" t="s">
        <v>584</v>
      </c>
      <c r="G104" s="168">
        <v>7</v>
      </c>
      <c r="H104" s="416" t="s">
        <v>365</v>
      </c>
      <c r="I104" s="198"/>
      <c r="J104" s="168"/>
      <c r="K104" s="183">
        <f>IF(H104=Listas!$A$3,AutoBaremo!G104,0)</f>
        <v>0</v>
      </c>
      <c r="L104" s="169"/>
      <c r="M104" s="169"/>
    </row>
    <row r="105" spans="1:13" ht="45.75" thickBot="1" x14ac:dyDescent="0.3">
      <c r="A105" s="298" t="s">
        <v>375</v>
      </c>
      <c r="B105" s="175" t="s">
        <v>238</v>
      </c>
      <c r="C105" s="176" t="s">
        <v>239</v>
      </c>
      <c r="D105" s="177" t="s">
        <v>103</v>
      </c>
      <c r="E105" s="178">
        <v>4</v>
      </c>
      <c r="F105" s="179" t="s">
        <v>583</v>
      </c>
      <c r="G105" s="178">
        <v>4</v>
      </c>
      <c r="H105" s="416" t="s">
        <v>365</v>
      </c>
      <c r="I105" s="178"/>
      <c r="J105" s="178"/>
      <c r="K105" s="183">
        <f>IF($K$104=0,IF(H105=Listas!$A$3,AutoBaremo!G105,0),0)</f>
        <v>0</v>
      </c>
      <c r="L105" s="179"/>
      <c r="M105" s="179"/>
    </row>
    <row r="106" spans="1:13" ht="45.75" thickBot="1" x14ac:dyDescent="0.3">
      <c r="A106" s="297" t="s">
        <v>375</v>
      </c>
      <c r="B106" s="165" t="s">
        <v>240</v>
      </c>
      <c r="C106" s="166" t="s">
        <v>241</v>
      </c>
      <c r="D106" s="167" t="s">
        <v>103</v>
      </c>
      <c r="E106" s="168">
        <v>4</v>
      </c>
      <c r="F106" s="169" t="s">
        <v>583</v>
      </c>
      <c r="G106" s="168">
        <v>4</v>
      </c>
      <c r="H106" s="416" t="s">
        <v>365</v>
      </c>
      <c r="I106" s="198"/>
      <c r="J106" s="168"/>
      <c r="K106" s="183">
        <f>IF($K$104=0,IF(H106=Listas!$A$3,AutoBaremo!G106,0),0)</f>
        <v>0</v>
      </c>
      <c r="L106" s="169"/>
      <c r="M106" s="169"/>
    </row>
    <row r="107" spans="1:13" ht="30.75" thickBot="1" x14ac:dyDescent="0.3">
      <c r="A107" s="298" t="s">
        <v>375</v>
      </c>
      <c r="B107" s="175" t="s">
        <v>242</v>
      </c>
      <c r="C107" s="176" t="s">
        <v>243</v>
      </c>
      <c r="D107" s="177" t="s">
        <v>103</v>
      </c>
      <c r="E107" s="178">
        <v>4</v>
      </c>
      <c r="F107" s="179" t="s">
        <v>583</v>
      </c>
      <c r="G107" s="178">
        <v>4</v>
      </c>
      <c r="H107" s="416" t="s">
        <v>365</v>
      </c>
      <c r="I107" s="178"/>
      <c r="J107" s="178"/>
      <c r="K107" s="183">
        <f>IF($K$104=0,IF(H107=Listas!$A$3,AutoBaremo!G107,0),0)</f>
        <v>0</v>
      </c>
      <c r="L107" s="179" t="s">
        <v>575</v>
      </c>
      <c r="M107" s="179"/>
    </row>
    <row r="108" spans="1:13" ht="30.75" thickBot="1" x14ac:dyDescent="0.3">
      <c r="A108" s="297" t="s">
        <v>375</v>
      </c>
      <c r="B108" s="165" t="s">
        <v>244</v>
      </c>
      <c r="C108" s="166" t="s">
        <v>245</v>
      </c>
      <c r="D108" s="167" t="s">
        <v>103</v>
      </c>
      <c r="E108" s="168">
        <v>4</v>
      </c>
      <c r="F108" s="169" t="s">
        <v>583</v>
      </c>
      <c r="G108" s="168">
        <v>4</v>
      </c>
      <c r="H108" s="416" t="s">
        <v>365</v>
      </c>
      <c r="I108" s="198"/>
      <c r="J108" s="168"/>
      <c r="K108" s="183">
        <f>IF($K$104=0,IF(H108=Listas!$A$3,AutoBaremo!G108,0),0)</f>
        <v>0</v>
      </c>
      <c r="L108" s="169" t="s">
        <v>576</v>
      </c>
      <c r="M108" s="169"/>
    </row>
    <row r="109" spans="1:13" ht="30.75" thickBot="1" x14ac:dyDescent="0.3">
      <c r="A109" s="298" t="s">
        <v>375</v>
      </c>
      <c r="B109" s="175" t="s">
        <v>246</v>
      </c>
      <c r="C109" s="176" t="s">
        <v>247</v>
      </c>
      <c r="D109" s="177" t="s">
        <v>103</v>
      </c>
      <c r="E109" s="178">
        <v>4</v>
      </c>
      <c r="F109" s="179" t="s">
        <v>583</v>
      </c>
      <c r="G109" s="178">
        <v>4</v>
      </c>
      <c r="H109" s="416" t="s">
        <v>365</v>
      </c>
      <c r="I109" s="178"/>
      <c r="J109" s="178"/>
      <c r="K109" s="183">
        <f>IF($K$104=0,IF(H109=Listas!$A$3,AutoBaremo!G109,0),0)</f>
        <v>0</v>
      </c>
      <c r="L109" s="179" t="s">
        <v>577</v>
      </c>
      <c r="M109" s="179"/>
    </row>
    <row r="110" spans="1:13" ht="30.75" thickBot="1" x14ac:dyDescent="0.3">
      <c r="A110" s="297" t="s">
        <v>375</v>
      </c>
      <c r="B110" s="165" t="s">
        <v>248</v>
      </c>
      <c r="C110" s="166" t="s">
        <v>249</v>
      </c>
      <c r="D110" s="167" t="s">
        <v>103</v>
      </c>
      <c r="E110" s="168">
        <v>4</v>
      </c>
      <c r="F110" s="169" t="s">
        <v>583</v>
      </c>
      <c r="G110" s="168">
        <v>4</v>
      </c>
      <c r="H110" s="416" t="s">
        <v>365</v>
      </c>
      <c r="I110" s="198"/>
      <c r="J110" s="168"/>
      <c r="K110" s="183">
        <f>IF($K$104=0,IF(H110=Listas!$A$3,AutoBaremo!G110,0),0)</f>
        <v>0</v>
      </c>
      <c r="L110" s="169" t="s">
        <v>578</v>
      </c>
      <c r="M110" s="169"/>
    </row>
    <row r="111" spans="1:13" ht="45.75" thickBot="1" x14ac:dyDescent="0.3">
      <c r="A111" s="298" t="s">
        <v>375</v>
      </c>
      <c r="B111" s="175" t="s">
        <v>250</v>
      </c>
      <c r="C111" s="176" t="s">
        <v>251</v>
      </c>
      <c r="D111" s="177" t="s">
        <v>252</v>
      </c>
      <c r="E111" s="178">
        <v>3</v>
      </c>
      <c r="F111" s="179" t="s">
        <v>583</v>
      </c>
      <c r="G111" s="178">
        <v>3</v>
      </c>
      <c r="H111" s="416" t="s">
        <v>365</v>
      </c>
      <c r="I111" s="178"/>
      <c r="J111" s="178"/>
      <c r="K111" s="183">
        <f>IF($K$104=0,IF(H111=Listas!$A$3,AutoBaremo!G111,0),0)</f>
        <v>0</v>
      </c>
      <c r="L111" s="179" t="s">
        <v>579</v>
      </c>
      <c r="M111" s="179"/>
    </row>
    <row r="112" spans="1:13" ht="57" thickBot="1" x14ac:dyDescent="0.3">
      <c r="A112" s="301" t="s">
        <v>373</v>
      </c>
      <c r="B112" s="186" t="s">
        <v>253</v>
      </c>
      <c r="C112" s="186" t="s">
        <v>254</v>
      </c>
      <c r="D112" s="187" t="s">
        <v>109</v>
      </c>
      <c r="E112" s="188">
        <v>5</v>
      </c>
      <c r="F112" s="189"/>
      <c r="G112" s="190"/>
      <c r="H112" s="154"/>
      <c r="I112" s="154"/>
      <c r="J112" s="154"/>
      <c r="K112" s="156">
        <f>K113+K118+K134</f>
        <v>0</v>
      </c>
      <c r="L112" s="191" t="s">
        <v>580</v>
      </c>
      <c r="M112" s="191"/>
    </row>
    <row r="113" spans="1:14" ht="33.75" customHeight="1" thickBot="1" x14ac:dyDescent="0.3">
      <c r="A113" s="295" t="s">
        <v>374</v>
      </c>
      <c r="B113" s="436" t="s">
        <v>877</v>
      </c>
      <c r="C113" s="436"/>
      <c r="D113" s="436"/>
      <c r="E113" s="209">
        <v>5</v>
      </c>
      <c r="F113" s="210"/>
      <c r="G113" s="209"/>
      <c r="H113" s="309">
        <f>IFERROR(BalanceyResultados!J79,0)</f>
        <v>0</v>
      </c>
      <c r="I113" s="211"/>
      <c r="J113" s="211"/>
      <c r="K113" s="212">
        <f>IF($G$9=1,SUM(K115:K117),0)</f>
        <v>0</v>
      </c>
      <c r="L113" s="213"/>
      <c r="M113" s="213"/>
    </row>
    <row r="114" spans="1:14" ht="15.75" thickBot="1" x14ac:dyDescent="0.3">
      <c r="A114" s="273" t="s">
        <v>374</v>
      </c>
      <c r="B114" s="434" t="s">
        <v>543</v>
      </c>
      <c r="C114" s="434"/>
      <c r="D114" s="434"/>
      <c r="E114" s="434"/>
      <c r="F114" s="434"/>
      <c r="G114" s="434"/>
      <c r="H114" s="434"/>
      <c r="I114" s="434"/>
      <c r="J114" s="434"/>
      <c r="K114" s="435"/>
      <c r="L114" s="214"/>
      <c r="M114" s="214"/>
    </row>
    <row r="115" spans="1:14" ht="15.75" thickBot="1" x14ac:dyDescent="0.3">
      <c r="A115" s="297" t="s">
        <v>375</v>
      </c>
      <c r="B115" s="165" t="s">
        <v>255</v>
      </c>
      <c r="C115" s="166" t="s">
        <v>256</v>
      </c>
      <c r="D115" s="167" t="s">
        <v>257</v>
      </c>
      <c r="E115" s="168">
        <v>5</v>
      </c>
      <c r="F115" s="169" t="s">
        <v>100</v>
      </c>
      <c r="G115" s="168">
        <v>1</v>
      </c>
      <c r="H115" s="168"/>
      <c r="I115" s="168"/>
      <c r="J115" s="168"/>
      <c r="K115" s="174">
        <f>IF(H113&gt;G115,E115,0)</f>
        <v>0</v>
      </c>
      <c r="L115" s="169"/>
      <c r="M115" s="169"/>
    </row>
    <row r="116" spans="1:14" ht="15.75" thickBot="1" x14ac:dyDescent="0.3">
      <c r="A116" s="298" t="s">
        <v>375</v>
      </c>
      <c r="B116" s="175" t="s">
        <v>255</v>
      </c>
      <c r="C116" s="176" t="s">
        <v>258</v>
      </c>
      <c r="D116" s="177" t="s">
        <v>257</v>
      </c>
      <c r="E116" s="178">
        <v>3</v>
      </c>
      <c r="F116" s="179" t="s">
        <v>100</v>
      </c>
      <c r="G116" s="178">
        <v>0.5</v>
      </c>
      <c r="H116" s="178"/>
      <c r="I116" s="178"/>
      <c r="J116" s="178"/>
      <c r="K116" s="183">
        <f>IF(SUM(K$115:K115)=0,IF($H$113&gt;G116,E116,0),0)</f>
        <v>0</v>
      </c>
      <c r="L116" s="179"/>
      <c r="M116" s="179"/>
    </row>
    <row r="117" spans="1:14" ht="15.75" thickBot="1" x14ac:dyDescent="0.3">
      <c r="A117" s="297" t="s">
        <v>375</v>
      </c>
      <c r="B117" s="165" t="s">
        <v>255</v>
      </c>
      <c r="C117" s="166" t="s">
        <v>259</v>
      </c>
      <c r="D117" s="167" t="s">
        <v>257</v>
      </c>
      <c r="E117" s="168">
        <v>1</v>
      </c>
      <c r="F117" s="169" t="s">
        <v>100</v>
      </c>
      <c r="G117" s="168">
        <v>0</v>
      </c>
      <c r="H117" s="168"/>
      <c r="I117" s="168"/>
      <c r="J117" s="168"/>
      <c r="K117" s="174">
        <f>IF(SUM(K$115:K116)=0,IF($H$113&gt;G117,E117,0),0)</f>
        <v>0</v>
      </c>
      <c r="L117" s="169"/>
      <c r="M117" s="169"/>
    </row>
    <row r="118" spans="1:14" ht="36.75" customHeight="1" thickBot="1" x14ac:dyDescent="0.3">
      <c r="A118" s="295" t="s">
        <v>374</v>
      </c>
      <c r="B118" s="436" t="s">
        <v>545</v>
      </c>
      <c r="C118" s="436"/>
      <c r="D118" s="436"/>
      <c r="E118" s="209">
        <v>5</v>
      </c>
      <c r="F118" s="210"/>
      <c r="G118" s="209"/>
      <c r="H118" s="209"/>
      <c r="I118" s="211"/>
      <c r="J118" s="211"/>
      <c r="K118" s="212">
        <f>IF($G$10=2,IF($G$9=2,SUM(K120:K133),0),0)</f>
        <v>0</v>
      </c>
      <c r="L118" s="213"/>
      <c r="M118" s="213"/>
    </row>
    <row r="119" spans="1:14" ht="15.75" thickBot="1" x14ac:dyDescent="0.3">
      <c r="A119" s="273" t="s">
        <v>374</v>
      </c>
      <c r="B119" s="427" t="s">
        <v>544</v>
      </c>
      <c r="C119" s="427"/>
      <c r="D119" s="427"/>
      <c r="E119" s="427"/>
      <c r="F119" s="159" t="s">
        <v>583</v>
      </c>
      <c r="G119" s="185"/>
      <c r="H119" s="310">
        <f>IFERROR(BalanceyResultados!J82,0)</f>
        <v>0</v>
      </c>
      <c r="I119" s="215"/>
      <c r="J119" s="215"/>
      <c r="K119" s="215"/>
      <c r="L119" s="214"/>
      <c r="M119" s="214"/>
    </row>
    <row r="120" spans="1:14" ht="15.75" thickBot="1" x14ac:dyDescent="0.3">
      <c r="A120" s="297" t="s">
        <v>375</v>
      </c>
      <c r="B120" s="165" t="s">
        <v>260</v>
      </c>
      <c r="C120" s="166" t="s">
        <v>261</v>
      </c>
      <c r="D120" s="167" t="s">
        <v>257</v>
      </c>
      <c r="E120" s="168">
        <v>1.5</v>
      </c>
      <c r="F120" s="169" t="s">
        <v>100</v>
      </c>
      <c r="G120" s="168">
        <v>2</v>
      </c>
      <c r="H120" s="168"/>
      <c r="I120" s="168"/>
      <c r="J120" s="168"/>
      <c r="K120" s="174">
        <f>IF(H119&gt;G121,E120,0)</f>
        <v>0</v>
      </c>
      <c r="L120" s="169"/>
      <c r="M120" s="169"/>
      <c r="N120" s="414"/>
    </row>
    <row r="121" spans="1:14" ht="15.75" thickBot="1" x14ac:dyDescent="0.3">
      <c r="A121" s="298" t="s">
        <v>375</v>
      </c>
      <c r="B121" s="175" t="s">
        <v>260</v>
      </c>
      <c r="C121" s="176" t="s">
        <v>262</v>
      </c>
      <c r="D121" s="177" t="s">
        <v>257</v>
      </c>
      <c r="E121" s="178">
        <v>1</v>
      </c>
      <c r="F121" s="179" t="s">
        <v>100</v>
      </c>
      <c r="G121" s="178">
        <v>1.5</v>
      </c>
      <c r="H121" s="178"/>
      <c r="I121" s="178"/>
      <c r="J121" s="178"/>
      <c r="K121" s="183">
        <f>IF(SUM(K$120:K120)=0,IF($H$119&gt;G122,E121,0),0)</f>
        <v>0</v>
      </c>
      <c r="L121" s="179"/>
      <c r="M121" s="179"/>
    </row>
    <row r="122" spans="1:14" ht="15.75" thickBot="1" x14ac:dyDescent="0.3">
      <c r="A122" s="297" t="s">
        <v>375</v>
      </c>
      <c r="B122" s="165" t="s">
        <v>260</v>
      </c>
      <c r="C122" s="166" t="s">
        <v>263</v>
      </c>
      <c r="D122" s="167" t="s">
        <v>257</v>
      </c>
      <c r="E122" s="168">
        <v>0</v>
      </c>
      <c r="F122" s="169" t="s">
        <v>100</v>
      </c>
      <c r="G122" s="168">
        <v>1</v>
      </c>
      <c r="H122" s="168"/>
      <c r="I122" s="168"/>
      <c r="J122" s="168"/>
      <c r="K122" s="174">
        <f>IF(SUM(K$120:K121)=0,IF($H$119&gt;G122,E122,0),0)</f>
        <v>0</v>
      </c>
      <c r="L122" s="169"/>
      <c r="M122" s="169"/>
    </row>
    <row r="123" spans="1:14" ht="15.75" thickBot="1" x14ac:dyDescent="0.3">
      <c r="A123" s="273" t="s">
        <v>374</v>
      </c>
      <c r="B123" s="427" t="s">
        <v>546</v>
      </c>
      <c r="C123" s="427"/>
      <c r="D123" s="427"/>
      <c r="E123" s="427"/>
      <c r="F123" s="159" t="s">
        <v>583</v>
      </c>
      <c r="G123" s="158"/>
      <c r="H123" s="310">
        <f>IFERROR(BalanceyResultados!J85,2)</f>
        <v>2</v>
      </c>
      <c r="I123" s="215"/>
      <c r="J123" s="215"/>
      <c r="K123" s="215"/>
      <c r="L123" s="214"/>
      <c r="M123" s="214"/>
    </row>
    <row r="124" spans="1:14" ht="15.75" thickBot="1" x14ac:dyDescent="0.3">
      <c r="A124" s="297" t="s">
        <v>375</v>
      </c>
      <c r="B124" s="165" t="s">
        <v>264</v>
      </c>
      <c r="C124" s="166" t="s">
        <v>265</v>
      </c>
      <c r="D124" s="167" t="s">
        <v>257</v>
      </c>
      <c r="E124" s="168">
        <v>1</v>
      </c>
      <c r="F124" s="169" t="s">
        <v>100</v>
      </c>
      <c r="G124" s="168">
        <v>0</v>
      </c>
      <c r="H124" s="168"/>
      <c r="I124" s="168"/>
      <c r="J124" s="168"/>
      <c r="K124" s="174">
        <f>IF(H123&lt;G125,E124,0)</f>
        <v>0</v>
      </c>
      <c r="L124" s="169"/>
      <c r="M124" s="169"/>
    </row>
    <row r="125" spans="1:14" ht="15.75" thickBot="1" x14ac:dyDescent="0.3">
      <c r="A125" s="298" t="s">
        <v>375</v>
      </c>
      <c r="B125" s="175" t="s">
        <v>264</v>
      </c>
      <c r="C125" s="176" t="s">
        <v>266</v>
      </c>
      <c r="D125" s="177" t="s">
        <v>257</v>
      </c>
      <c r="E125" s="178">
        <v>0.5</v>
      </c>
      <c r="F125" s="179" t="s">
        <v>100</v>
      </c>
      <c r="G125" s="178">
        <v>0.5</v>
      </c>
      <c r="H125" s="178"/>
      <c r="I125" s="178"/>
      <c r="J125" s="178"/>
      <c r="K125" s="183">
        <f>IF(K124=0,IF(H123&lt;G126,E125,0),0)</f>
        <v>0</v>
      </c>
      <c r="L125" s="179"/>
      <c r="M125" s="179"/>
    </row>
    <row r="126" spans="1:14" ht="15.75" thickBot="1" x14ac:dyDescent="0.3">
      <c r="A126" s="297" t="s">
        <v>375</v>
      </c>
      <c r="B126" s="165" t="s">
        <v>264</v>
      </c>
      <c r="C126" s="166" t="s">
        <v>267</v>
      </c>
      <c r="D126" s="167" t="s">
        <v>257</v>
      </c>
      <c r="E126" s="168">
        <v>0</v>
      </c>
      <c r="F126" s="169" t="s">
        <v>100</v>
      </c>
      <c r="G126" s="168">
        <v>1</v>
      </c>
      <c r="H126" s="168"/>
      <c r="I126" s="168"/>
      <c r="J126" s="168"/>
      <c r="K126" s="174">
        <f>IF(SUM(K$124:K125)=0,IF($H$123&lt;G126,E126,0),0)</f>
        <v>0</v>
      </c>
      <c r="L126" s="169"/>
      <c r="M126" s="169"/>
    </row>
    <row r="127" spans="1:14" ht="15.75" thickBot="1" x14ac:dyDescent="0.3">
      <c r="A127" s="273" t="s">
        <v>374</v>
      </c>
      <c r="B127" s="427" t="s">
        <v>547</v>
      </c>
      <c r="C127" s="427"/>
      <c r="D127" s="427"/>
      <c r="E127" s="427"/>
      <c r="F127" s="159" t="s">
        <v>583</v>
      </c>
      <c r="G127" s="158"/>
      <c r="H127" s="311">
        <f>IFERROR(BalanceyResultados!J88,0)</f>
        <v>0</v>
      </c>
      <c r="I127" s="215"/>
      <c r="J127" s="215"/>
      <c r="K127" s="215"/>
      <c r="L127" s="214"/>
      <c r="M127" s="214"/>
    </row>
    <row r="128" spans="1:14" ht="30.75" thickBot="1" x14ac:dyDescent="0.3">
      <c r="A128" s="297" t="s">
        <v>375</v>
      </c>
      <c r="B128" s="165" t="s">
        <v>268</v>
      </c>
      <c r="C128" s="166" t="s">
        <v>269</v>
      </c>
      <c r="D128" s="167" t="s">
        <v>257</v>
      </c>
      <c r="E128" s="168">
        <v>1.5</v>
      </c>
      <c r="F128" s="169" t="s">
        <v>100</v>
      </c>
      <c r="G128" s="216">
        <v>0.15</v>
      </c>
      <c r="H128" s="168"/>
      <c r="I128" s="168"/>
      <c r="J128" s="168"/>
      <c r="K128" s="174">
        <f>IF(H127&gt;G129,E128,0)</f>
        <v>0</v>
      </c>
      <c r="L128" s="169"/>
      <c r="M128" s="169"/>
    </row>
    <row r="129" spans="1:13" ht="30.75" thickBot="1" x14ac:dyDescent="0.3">
      <c r="A129" s="298" t="s">
        <v>375</v>
      </c>
      <c r="B129" s="175" t="s">
        <v>268</v>
      </c>
      <c r="C129" s="176" t="s">
        <v>270</v>
      </c>
      <c r="D129" s="177" t="s">
        <v>257</v>
      </c>
      <c r="E129" s="178">
        <v>1</v>
      </c>
      <c r="F129" s="179" t="s">
        <v>100</v>
      </c>
      <c r="G129" s="217">
        <v>0.05</v>
      </c>
      <c r="H129" s="178"/>
      <c r="I129" s="178"/>
      <c r="J129" s="178"/>
      <c r="K129" s="183">
        <f>IF(K128=0,IF(H127&gt;G130,E129,0),0)</f>
        <v>0</v>
      </c>
      <c r="L129" s="179"/>
      <c r="M129" s="179"/>
    </row>
    <row r="130" spans="1:13" ht="15.75" thickBot="1" x14ac:dyDescent="0.3">
      <c r="A130" s="297" t="s">
        <v>375</v>
      </c>
      <c r="B130" s="165" t="s">
        <v>268</v>
      </c>
      <c r="C130" s="166" t="s">
        <v>271</v>
      </c>
      <c r="D130" s="167" t="s">
        <v>257</v>
      </c>
      <c r="E130" s="168">
        <v>0</v>
      </c>
      <c r="F130" s="169" t="s">
        <v>100</v>
      </c>
      <c r="G130" s="216">
        <v>0</v>
      </c>
      <c r="H130" s="168"/>
      <c r="I130" s="168"/>
      <c r="J130" s="168"/>
      <c r="K130" s="174">
        <f>IF(SUM(K$124:K129)=0,IF($H$127&lt;G130,E130,0),0)</f>
        <v>0</v>
      </c>
      <c r="L130" s="169"/>
      <c r="M130" s="169"/>
    </row>
    <row r="131" spans="1:13" ht="15.75" thickBot="1" x14ac:dyDescent="0.3">
      <c r="A131" s="273" t="s">
        <v>374</v>
      </c>
      <c r="B131" s="427" t="s">
        <v>548</v>
      </c>
      <c r="C131" s="427"/>
      <c r="D131" s="427"/>
      <c r="E131" s="427"/>
      <c r="F131" s="159" t="s">
        <v>583</v>
      </c>
      <c r="G131" s="158"/>
      <c r="H131" s="311">
        <f>IFERROR(BalanceyResultados!J91,0)</f>
        <v>0</v>
      </c>
      <c r="I131" s="215"/>
      <c r="J131" s="215"/>
      <c r="K131" s="215"/>
      <c r="L131" s="214"/>
      <c r="M131" s="214"/>
    </row>
    <row r="132" spans="1:13" ht="30.75" thickBot="1" x14ac:dyDescent="0.3">
      <c r="A132" s="297" t="s">
        <v>375</v>
      </c>
      <c r="B132" s="165" t="s">
        <v>272</v>
      </c>
      <c r="C132" s="166" t="s">
        <v>273</v>
      </c>
      <c r="D132" s="167" t="s">
        <v>257</v>
      </c>
      <c r="E132" s="168">
        <v>1</v>
      </c>
      <c r="F132" s="169" t="s">
        <v>100</v>
      </c>
      <c r="G132" s="216">
        <v>1</v>
      </c>
      <c r="H132" s="168"/>
      <c r="I132" s="168"/>
      <c r="J132" s="168"/>
      <c r="K132" s="174">
        <f>IF(H131&gt;G132,E132,0)</f>
        <v>0</v>
      </c>
      <c r="L132" s="169"/>
      <c r="M132" s="169"/>
    </row>
    <row r="133" spans="1:13" ht="30.75" thickBot="1" x14ac:dyDescent="0.3">
      <c r="A133" s="298" t="s">
        <v>375</v>
      </c>
      <c r="B133" s="175" t="s">
        <v>272</v>
      </c>
      <c r="C133" s="176" t="s">
        <v>274</v>
      </c>
      <c r="D133" s="177" t="s">
        <v>257</v>
      </c>
      <c r="E133" s="178">
        <v>0</v>
      </c>
      <c r="F133" s="179" t="s">
        <v>100</v>
      </c>
      <c r="G133" s="217">
        <v>0</v>
      </c>
      <c r="H133" s="178"/>
      <c r="I133" s="178"/>
      <c r="J133" s="178"/>
      <c r="K133" s="183">
        <f>IF(SUM(K$128:K132)=0,IF($H$131&gt;G133,E133,0),0)</f>
        <v>0</v>
      </c>
      <c r="L133" s="179"/>
      <c r="M133" s="179"/>
    </row>
    <row r="134" spans="1:13" ht="30.75" customHeight="1" thickBot="1" x14ac:dyDescent="0.3">
      <c r="A134" s="295" t="s">
        <v>374</v>
      </c>
      <c r="B134" s="436" t="s">
        <v>878</v>
      </c>
      <c r="C134" s="436"/>
      <c r="D134" s="436"/>
      <c r="E134" s="209">
        <v>5</v>
      </c>
      <c r="F134" s="218"/>
      <c r="G134" s="209"/>
      <c r="H134" s="219"/>
      <c r="I134" s="211"/>
      <c r="J134" s="211"/>
      <c r="K134" s="212">
        <f>IF($G9=2,IF($G$10=2,0,SUM(K136:K145)),0)</f>
        <v>0</v>
      </c>
      <c r="L134" s="213"/>
      <c r="M134" s="213"/>
    </row>
    <row r="135" spans="1:13" ht="15.75" thickBot="1" x14ac:dyDescent="0.3">
      <c r="A135" s="273" t="s">
        <v>374</v>
      </c>
      <c r="B135" s="427" t="s">
        <v>544</v>
      </c>
      <c r="C135" s="427"/>
      <c r="D135" s="427"/>
      <c r="E135" s="427"/>
      <c r="F135" s="159" t="s">
        <v>583</v>
      </c>
      <c r="G135" s="158"/>
      <c r="H135" s="310">
        <f>IFERROR(BalanceyResultados!J82,0)</f>
        <v>0</v>
      </c>
      <c r="I135" s="215"/>
      <c r="J135" s="215"/>
      <c r="K135" s="215"/>
      <c r="L135" s="214"/>
      <c r="M135" s="214"/>
    </row>
    <row r="136" spans="1:13" ht="15.75" thickBot="1" x14ac:dyDescent="0.3">
      <c r="A136" s="297" t="s">
        <v>375</v>
      </c>
      <c r="B136" s="165" t="s">
        <v>260</v>
      </c>
      <c r="C136" s="166" t="s">
        <v>261</v>
      </c>
      <c r="D136" s="167" t="s">
        <v>257</v>
      </c>
      <c r="E136" s="168">
        <v>2</v>
      </c>
      <c r="F136" s="169" t="s">
        <v>100</v>
      </c>
      <c r="G136" s="168">
        <v>2</v>
      </c>
      <c r="H136" s="168"/>
      <c r="I136" s="168"/>
      <c r="J136" s="168"/>
      <c r="K136" s="174">
        <f>IF(H135&gt;G137,E136,0)</f>
        <v>0</v>
      </c>
      <c r="L136" s="169"/>
      <c r="M136" s="169"/>
    </row>
    <row r="137" spans="1:13" ht="15.75" thickBot="1" x14ac:dyDescent="0.3">
      <c r="A137" s="298" t="s">
        <v>375</v>
      </c>
      <c r="B137" s="175" t="s">
        <v>260</v>
      </c>
      <c r="C137" s="176" t="s">
        <v>262</v>
      </c>
      <c r="D137" s="177" t="s">
        <v>257</v>
      </c>
      <c r="E137" s="178">
        <v>1</v>
      </c>
      <c r="F137" s="179" t="s">
        <v>100</v>
      </c>
      <c r="G137" s="178">
        <v>1.5</v>
      </c>
      <c r="H137" s="178"/>
      <c r="I137" s="178"/>
      <c r="J137" s="178"/>
      <c r="K137" s="183">
        <f>IF(SUM(K$136:K136)=0,IF($H$135&gt;G138,E137,0),0)</f>
        <v>0</v>
      </c>
      <c r="L137" s="179"/>
      <c r="M137" s="179"/>
    </row>
    <row r="138" spans="1:13" ht="15.75" thickBot="1" x14ac:dyDescent="0.3">
      <c r="A138" s="297" t="s">
        <v>375</v>
      </c>
      <c r="B138" s="165" t="s">
        <v>260</v>
      </c>
      <c r="C138" s="166" t="s">
        <v>263</v>
      </c>
      <c r="D138" s="167" t="s">
        <v>257</v>
      </c>
      <c r="E138" s="168">
        <v>0</v>
      </c>
      <c r="F138" s="169" t="s">
        <v>100</v>
      </c>
      <c r="G138" s="168">
        <v>1</v>
      </c>
      <c r="H138" s="168"/>
      <c r="I138" s="168"/>
      <c r="J138" s="168"/>
      <c r="K138" s="174">
        <f>IF(SUM(K$136:K137)=0,IF($H$119&gt;G138,E138,0),0)</f>
        <v>0</v>
      </c>
      <c r="L138" s="169"/>
      <c r="M138" s="169"/>
    </row>
    <row r="139" spans="1:13" ht="15.75" thickBot="1" x14ac:dyDescent="0.3">
      <c r="A139" s="273" t="s">
        <v>374</v>
      </c>
      <c r="B139" s="427" t="s">
        <v>546</v>
      </c>
      <c r="C139" s="427"/>
      <c r="D139" s="427"/>
      <c r="E139" s="427"/>
      <c r="F139" s="159" t="s">
        <v>583</v>
      </c>
      <c r="G139" s="158"/>
      <c r="H139" s="310">
        <f>IFERROR(BalanceyResultados!J85,2)</f>
        <v>2</v>
      </c>
      <c r="I139" s="215"/>
      <c r="J139" s="215"/>
      <c r="K139" s="215"/>
      <c r="L139" s="214"/>
      <c r="M139" s="214"/>
    </row>
    <row r="140" spans="1:13" ht="15.75" thickBot="1" x14ac:dyDescent="0.3">
      <c r="A140" s="297" t="s">
        <v>375</v>
      </c>
      <c r="B140" s="165" t="s">
        <v>264</v>
      </c>
      <c r="C140" s="166" t="s">
        <v>265</v>
      </c>
      <c r="D140" s="167" t="s">
        <v>257</v>
      </c>
      <c r="E140" s="168">
        <v>1.5</v>
      </c>
      <c r="F140" s="169" t="s">
        <v>100</v>
      </c>
      <c r="G140" s="168">
        <v>0</v>
      </c>
      <c r="H140" s="168"/>
      <c r="I140" s="168"/>
      <c r="J140" s="168"/>
      <c r="K140" s="174">
        <f>IF(H139&lt;G141,E140,0)</f>
        <v>0</v>
      </c>
      <c r="L140" s="169"/>
      <c r="M140" s="169"/>
    </row>
    <row r="141" spans="1:13" ht="15.75" thickBot="1" x14ac:dyDescent="0.3">
      <c r="A141" s="298" t="s">
        <v>375</v>
      </c>
      <c r="B141" s="175" t="s">
        <v>264</v>
      </c>
      <c r="C141" s="176" t="s">
        <v>266</v>
      </c>
      <c r="D141" s="177" t="s">
        <v>257</v>
      </c>
      <c r="E141" s="178">
        <v>1</v>
      </c>
      <c r="F141" s="179" t="s">
        <v>100</v>
      </c>
      <c r="G141" s="178">
        <v>0.5</v>
      </c>
      <c r="H141" s="178"/>
      <c r="I141" s="178"/>
      <c r="J141" s="178"/>
      <c r="K141" s="183">
        <f>IF(K140=0,IF(H139&lt;G142,E141,0),0)</f>
        <v>0</v>
      </c>
      <c r="L141" s="179"/>
      <c r="M141" s="179"/>
    </row>
    <row r="142" spans="1:13" ht="15.75" thickBot="1" x14ac:dyDescent="0.3">
      <c r="A142" s="297" t="s">
        <v>375</v>
      </c>
      <c r="B142" s="165" t="s">
        <v>264</v>
      </c>
      <c r="C142" s="166" t="s">
        <v>267</v>
      </c>
      <c r="D142" s="167" t="s">
        <v>257</v>
      </c>
      <c r="E142" s="168">
        <v>0</v>
      </c>
      <c r="F142" s="169" t="s">
        <v>100</v>
      </c>
      <c r="G142" s="168">
        <v>1</v>
      </c>
      <c r="H142" s="168"/>
      <c r="I142" s="168"/>
      <c r="J142" s="168"/>
      <c r="K142" s="174">
        <f>IF(SUM(K$140:K141)=0,IF($H$123&lt;G142,E142,0),0)</f>
        <v>0</v>
      </c>
      <c r="L142" s="169"/>
      <c r="M142" s="169"/>
    </row>
    <row r="143" spans="1:13" ht="15.75" thickBot="1" x14ac:dyDescent="0.3">
      <c r="A143" s="273" t="s">
        <v>374</v>
      </c>
      <c r="B143" s="427" t="s">
        <v>548</v>
      </c>
      <c r="C143" s="427"/>
      <c r="D143" s="427"/>
      <c r="E143" s="427"/>
      <c r="F143" s="159" t="s">
        <v>583</v>
      </c>
      <c r="G143" s="158"/>
      <c r="H143" s="311">
        <f>IFERROR(BalanceyResultados!J91,0)</f>
        <v>0</v>
      </c>
      <c r="I143" s="215"/>
      <c r="J143" s="215"/>
      <c r="K143" s="215"/>
      <c r="L143" s="214"/>
      <c r="M143" s="214"/>
    </row>
    <row r="144" spans="1:13" ht="30.75" thickBot="1" x14ac:dyDescent="0.3">
      <c r="A144" s="297" t="s">
        <v>375</v>
      </c>
      <c r="B144" s="165" t="s">
        <v>272</v>
      </c>
      <c r="C144" s="166" t="s">
        <v>273</v>
      </c>
      <c r="D144" s="167" t="s">
        <v>257</v>
      </c>
      <c r="E144" s="168">
        <v>1.5</v>
      </c>
      <c r="F144" s="169" t="s">
        <v>100</v>
      </c>
      <c r="G144" s="216">
        <v>1</v>
      </c>
      <c r="H144" s="168"/>
      <c r="I144" s="168"/>
      <c r="J144" s="168"/>
      <c r="K144" s="174">
        <f>IF(H143&gt;G144,E144,0)</f>
        <v>0</v>
      </c>
      <c r="L144" s="169"/>
      <c r="M144" s="169"/>
    </row>
    <row r="145" spans="1:13" ht="30.75" thickBot="1" x14ac:dyDescent="0.3">
      <c r="A145" s="298" t="s">
        <v>375</v>
      </c>
      <c r="B145" s="175" t="s">
        <v>272</v>
      </c>
      <c r="C145" s="176" t="s">
        <v>274</v>
      </c>
      <c r="D145" s="177" t="s">
        <v>257</v>
      </c>
      <c r="E145" s="178">
        <v>0</v>
      </c>
      <c r="F145" s="179" t="s">
        <v>100</v>
      </c>
      <c r="G145" s="217">
        <v>0</v>
      </c>
      <c r="H145" s="178"/>
      <c r="I145" s="178"/>
      <c r="J145" s="178"/>
      <c r="K145" s="183">
        <f>IF(K144=0,IF(H143&gt;G145,E145,0),0)</f>
        <v>0</v>
      </c>
      <c r="L145" s="179"/>
      <c r="M145" s="179"/>
    </row>
    <row r="146" spans="1:13" ht="45.75" thickBot="1" x14ac:dyDescent="0.3">
      <c r="A146" s="301" t="s">
        <v>373</v>
      </c>
      <c r="B146" s="186" t="s">
        <v>275</v>
      </c>
      <c r="C146" s="186" t="s">
        <v>276</v>
      </c>
      <c r="D146" s="187" t="s">
        <v>41</v>
      </c>
      <c r="E146" s="188">
        <v>7</v>
      </c>
      <c r="F146" s="189"/>
      <c r="G146" s="189"/>
      <c r="H146" s="220">
        <f>$G$163</f>
        <v>0</v>
      </c>
      <c r="I146" s="154"/>
      <c r="J146" s="154"/>
      <c r="K146" s="221">
        <f>IF(SUM(K147:K153)&gt;E146,E146,SUM(K147:K153))</f>
        <v>0</v>
      </c>
      <c r="L146" s="191" t="s">
        <v>581</v>
      </c>
      <c r="M146" s="191" t="s">
        <v>598</v>
      </c>
    </row>
    <row r="147" spans="1:13" ht="48.75" thickBot="1" x14ac:dyDescent="0.3">
      <c r="A147" s="297" t="s">
        <v>375</v>
      </c>
      <c r="B147" s="165" t="s">
        <v>277</v>
      </c>
      <c r="C147" s="166" t="s">
        <v>278</v>
      </c>
      <c r="D147" s="167" t="s">
        <v>279</v>
      </c>
      <c r="E147" s="168">
        <v>7</v>
      </c>
      <c r="F147" s="169" t="s">
        <v>100</v>
      </c>
      <c r="G147" s="168">
        <v>7</v>
      </c>
      <c r="H147" s="206"/>
      <c r="I147" s="206"/>
      <c r="J147" s="168"/>
      <c r="K147" s="168">
        <f>IF($H$146&gt;=G147,E147,0)</f>
        <v>0</v>
      </c>
      <c r="L147" s="169"/>
      <c r="M147" s="169"/>
    </row>
    <row r="148" spans="1:13" ht="48.75" thickBot="1" x14ac:dyDescent="0.3">
      <c r="A148" s="298" t="s">
        <v>375</v>
      </c>
      <c r="B148" s="175" t="s">
        <v>280</v>
      </c>
      <c r="C148" s="176" t="s">
        <v>281</v>
      </c>
      <c r="D148" s="177" t="s">
        <v>282</v>
      </c>
      <c r="E148" s="178">
        <v>6</v>
      </c>
      <c r="F148" s="179" t="s">
        <v>100</v>
      </c>
      <c r="G148" s="178">
        <v>6</v>
      </c>
      <c r="H148" s="178"/>
      <c r="I148" s="178"/>
      <c r="J148" s="178"/>
      <c r="K148" s="178">
        <f>IF(SUM($K$147:$K147)&gt;0,0,IF($H$146&gt;=G148,E148,0))</f>
        <v>0</v>
      </c>
      <c r="L148" s="179"/>
      <c r="M148" s="179"/>
    </row>
    <row r="149" spans="1:13" ht="48.75" thickBot="1" x14ac:dyDescent="0.3">
      <c r="A149" s="297" t="s">
        <v>375</v>
      </c>
      <c r="B149" s="165" t="s">
        <v>283</v>
      </c>
      <c r="C149" s="166" t="s">
        <v>284</v>
      </c>
      <c r="D149" s="167" t="s">
        <v>279</v>
      </c>
      <c r="E149" s="168">
        <v>5</v>
      </c>
      <c r="F149" s="169" t="s">
        <v>100</v>
      </c>
      <c r="G149" s="168">
        <v>5</v>
      </c>
      <c r="H149" s="168"/>
      <c r="I149" s="168"/>
      <c r="J149" s="168"/>
      <c r="K149" s="168">
        <f>IF(SUM($K$147:$K148)&gt;0,0,IF($H$146&gt;=G149,E149,0))</f>
        <v>0</v>
      </c>
      <c r="L149" s="169"/>
      <c r="M149" s="169"/>
    </row>
    <row r="150" spans="1:13" ht="48.75" thickBot="1" x14ac:dyDescent="0.3">
      <c r="A150" s="298" t="s">
        <v>375</v>
      </c>
      <c r="B150" s="175" t="s">
        <v>285</v>
      </c>
      <c r="C150" s="176" t="s">
        <v>286</v>
      </c>
      <c r="D150" s="177" t="s">
        <v>279</v>
      </c>
      <c r="E150" s="178">
        <v>4</v>
      </c>
      <c r="F150" s="179" t="s">
        <v>100</v>
      </c>
      <c r="G150" s="178">
        <v>4</v>
      </c>
      <c r="H150" s="178"/>
      <c r="I150" s="178"/>
      <c r="J150" s="178"/>
      <c r="K150" s="178">
        <f>IF(SUM($K$147:$K149)&gt;0,0,IF($H$146&gt;=G150,E150,0))</f>
        <v>0</v>
      </c>
      <c r="L150" s="179"/>
      <c r="M150" s="179"/>
    </row>
    <row r="151" spans="1:13" ht="48.75" thickBot="1" x14ac:dyDescent="0.3">
      <c r="A151" s="297" t="s">
        <v>375</v>
      </c>
      <c r="B151" s="165" t="s">
        <v>287</v>
      </c>
      <c r="C151" s="166" t="s">
        <v>288</v>
      </c>
      <c r="D151" s="167" t="s">
        <v>279</v>
      </c>
      <c r="E151" s="168">
        <v>3</v>
      </c>
      <c r="F151" s="169" t="s">
        <v>100</v>
      </c>
      <c r="G151" s="168">
        <v>3</v>
      </c>
      <c r="H151" s="168"/>
      <c r="I151" s="168"/>
      <c r="J151" s="168"/>
      <c r="K151" s="168">
        <f>IF(SUM($K$147:$K150)&gt;0,0,IF($H$146&gt;=G151,E151,0))</f>
        <v>0</v>
      </c>
      <c r="L151" s="169"/>
      <c r="M151" s="169"/>
    </row>
    <row r="152" spans="1:13" ht="48.75" thickBot="1" x14ac:dyDescent="0.3">
      <c r="A152" s="298" t="s">
        <v>375</v>
      </c>
      <c r="B152" s="175" t="s">
        <v>289</v>
      </c>
      <c r="C152" s="176" t="s">
        <v>290</v>
      </c>
      <c r="D152" s="177" t="s">
        <v>279</v>
      </c>
      <c r="E152" s="178">
        <v>2</v>
      </c>
      <c r="F152" s="179" t="s">
        <v>100</v>
      </c>
      <c r="G152" s="178">
        <v>2</v>
      </c>
      <c r="H152" s="178"/>
      <c r="I152" s="178"/>
      <c r="J152" s="178"/>
      <c r="K152" s="178">
        <f>IF(SUM($K$147:$K151)&gt;0,0,IF($H$146&gt;=G152,E152,0))</f>
        <v>0</v>
      </c>
      <c r="L152" s="179"/>
      <c r="M152" s="179"/>
    </row>
    <row r="153" spans="1:13" ht="48.75" thickBot="1" x14ac:dyDescent="0.3">
      <c r="A153" s="297" t="s">
        <v>375</v>
      </c>
      <c r="B153" s="165" t="s">
        <v>291</v>
      </c>
      <c r="C153" s="166" t="s">
        <v>292</v>
      </c>
      <c r="D153" s="167" t="s">
        <v>279</v>
      </c>
      <c r="E153" s="168">
        <v>1</v>
      </c>
      <c r="F153" s="169" t="s">
        <v>100</v>
      </c>
      <c r="G153" s="168">
        <v>1</v>
      </c>
      <c r="H153" s="168"/>
      <c r="I153" s="168"/>
      <c r="J153" s="168"/>
      <c r="K153" s="168">
        <f>IF(SUM($K$147:$K152)&gt;0,0,IF($H$146&gt;=G153,E153,0))</f>
        <v>0</v>
      </c>
      <c r="L153" s="169"/>
      <c r="M153" s="169"/>
    </row>
    <row r="154" spans="1:13" ht="45.75" thickBot="1" x14ac:dyDescent="0.3">
      <c r="A154" s="301" t="s">
        <v>373</v>
      </c>
      <c r="B154" s="186" t="s">
        <v>293</v>
      </c>
      <c r="C154" s="186" t="s">
        <v>294</v>
      </c>
      <c r="D154" s="187" t="s">
        <v>41</v>
      </c>
      <c r="E154" s="188">
        <v>5</v>
      </c>
      <c r="F154" s="189"/>
      <c r="G154" s="189"/>
      <c r="H154" s="220">
        <f>$G$192</f>
        <v>0</v>
      </c>
      <c r="I154" s="154"/>
      <c r="J154" s="154"/>
      <c r="K154" s="221">
        <f>IF(SUM(K155:K159)&gt;E154,E154,SUM(K155:K159))</f>
        <v>0</v>
      </c>
      <c r="L154" s="191" t="s">
        <v>582</v>
      </c>
      <c r="M154" s="191"/>
    </row>
    <row r="155" spans="1:13" ht="48.75" thickBot="1" x14ac:dyDescent="0.3">
      <c r="A155" s="297" t="s">
        <v>375</v>
      </c>
      <c r="B155" s="165" t="s">
        <v>295</v>
      </c>
      <c r="C155" s="166" t="s">
        <v>296</v>
      </c>
      <c r="D155" s="167" t="s">
        <v>297</v>
      </c>
      <c r="E155" s="168">
        <v>5</v>
      </c>
      <c r="F155" s="169" t="s">
        <v>100</v>
      </c>
      <c r="G155" s="168">
        <v>5</v>
      </c>
      <c r="H155" s="206"/>
      <c r="I155" s="206"/>
      <c r="J155" s="168"/>
      <c r="K155" s="168">
        <f>IF($H$154&gt;=G155,E155,0)</f>
        <v>0</v>
      </c>
      <c r="L155" s="169"/>
      <c r="M155" s="169"/>
    </row>
    <row r="156" spans="1:13" ht="48.75" thickBot="1" x14ac:dyDescent="0.3">
      <c r="A156" s="298" t="s">
        <v>375</v>
      </c>
      <c r="B156" s="175" t="s">
        <v>298</v>
      </c>
      <c r="C156" s="176" t="s">
        <v>299</v>
      </c>
      <c r="D156" s="177" t="s">
        <v>297</v>
      </c>
      <c r="E156" s="178">
        <v>4</v>
      </c>
      <c r="F156" s="179" t="s">
        <v>100</v>
      </c>
      <c r="G156" s="178">
        <v>4</v>
      </c>
      <c r="H156" s="178"/>
      <c r="I156" s="178"/>
      <c r="J156" s="178"/>
      <c r="K156" s="178">
        <f>IF(SUM($K$155:$K155)&gt;0,0,IF($H$154&gt;=G156,E156,0))</f>
        <v>0</v>
      </c>
      <c r="L156" s="179"/>
      <c r="M156" s="179"/>
    </row>
    <row r="157" spans="1:13" ht="48.75" thickBot="1" x14ac:dyDescent="0.3">
      <c r="A157" s="297" t="s">
        <v>375</v>
      </c>
      <c r="B157" s="165" t="s">
        <v>300</v>
      </c>
      <c r="C157" s="166" t="s">
        <v>301</v>
      </c>
      <c r="D157" s="167" t="s">
        <v>297</v>
      </c>
      <c r="E157" s="168">
        <v>3</v>
      </c>
      <c r="F157" s="169" t="s">
        <v>100</v>
      </c>
      <c r="G157" s="168">
        <v>3</v>
      </c>
      <c r="H157" s="168"/>
      <c r="I157" s="168"/>
      <c r="J157" s="168"/>
      <c r="K157" s="168">
        <f>IF(SUM($K$155:$K156)&gt;0,0,IF($H$154&gt;=G157,E157,0))</f>
        <v>0</v>
      </c>
      <c r="L157" s="169"/>
      <c r="M157" s="169"/>
    </row>
    <row r="158" spans="1:13" ht="48.75" thickBot="1" x14ac:dyDescent="0.3">
      <c r="A158" s="298" t="s">
        <v>375</v>
      </c>
      <c r="B158" s="175" t="s">
        <v>302</v>
      </c>
      <c r="C158" s="176" t="s">
        <v>303</v>
      </c>
      <c r="D158" s="177" t="s">
        <v>297</v>
      </c>
      <c r="E158" s="178">
        <v>2</v>
      </c>
      <c r="F158" s="179" t="s">
        <v>100</v>
      </c>
      <c r="G158" s="178">
        <v>2</v>
      </c>
      <c r="H158" s="178"/>
      <c r="I158" s="178"/>
      <c r="J158" s="178"/>
      <c r="K158" s="178">
        <f>IF(SUM($K$155:$K157)&gt;0,0,IF($H$154&gt;=G158,E158,0))</f>
        <v>0</v>
      </c>
      <c r="L158" s="179"/>
      <c r="M158" s="179"/>
    </row>
    <row r="159" spans="1:13" ht="48.75" thickBot="1" x14ac:dyDescent="0.3">
      <c r="A159" s="297" t="s">
        <v>375</v>
      </c>
      <c r="B159" s="165" t="s">
        <v>304</v>
      </c>
      <c r="C159" s="166" t="s">
        <v>305</v>
      </c>
      <c r="D159" s="167" t="s">
        <v>297</v>
      </c>
      <c r="E159" s="168">
        <v>1</v>
      </c>
      <c r="F159" s="169" t="s">
        <v>100</v>
      </c>
      <c r="G159" s="168">
        <v>1</v>
      </c>
      <c r="H159" s="168"/>
      <c r="I159" s="168"/>
      <c r="J159" s="168"/>
      <c r="K159" s="168">
        <f>IF(SUM($K$155:$K158)&gt;0,0,IF($H$154&gt;=G159,E159,0))</f>
        <v>0</v>
      </c>
      <c r="L159" s="169"/>
      <c r="M159" s="169"/>
    </row>
    <row r="160" spans="1:13" ht="18.75" x14ac:dyDescent="0.25">
      <c r="A160" s="273" t="s">
        <v>794</v>
      </c>
      <c r="B160" s="432" t="s">
        <v>306</v>
      </c>
      <c r="C160" s="432"/>
      <c r="D160" s="432"/>
      <c r="E160" s="432"/>
      <c r="F160" s="432"/>
      <c r="G160" s="432"/>
      <c r="H160" s="432"/>
      <c r="I160" s="432"/>
      <c r="J160" s="432"/>
      <c r="K160" s="432"/>
      <c r="L160" s="222"/>
      <c r="M160" s="222"/>
    </row>
    <row r="161" spans="1:13" ht="15.75" thickBot="1" x14ac:dyDescent="0.3">
      <c r="A161" s="284" t="s">
        <v>794</v>
      </c>
      <c r="B161" s="223" t="s">
        <v>764</v>
      </c>
      <c r="C161" s="223"/>
      <c r="D161" s="223"/>
      <c r="E161" s="223"/>
      <c r="F161" s="224"/>
      <c r="G161" s="223"/>
      <c r="H161" s="223"/>
      <c r="I161" s="223"/>
      <c r="J161" s="223"/>
      <c r="K161" s="223"/>
      <c r="L161" s="224"/>
      <c r="M161" s="224"/>
    </row>
    <row r="162" spans="1:13" ht="15.75" thickBot="1" x14ac:dyDescent="0.3">
      <c r="A162" s="296" t="s">
        <v>788</v>
      </c>
      <c r="B162" s="424" t="s">
        <v>795</v>
      </c>
      <c r="C162" s="425"/>
      <c r="D162" s="425"/>
      <c r="E162" s="425"/>
      <c r="F162" s="425"/>
      <c r="G162" s="425"/>
      <c r="H162" s="425"/>
      <c r="I162" s="425"/>
      <c r="J162" s="425"/>
      <c r="K162" s="426"/>
      <c r="L162" s="164"/>
      <c r="M162" s="164"/>
    </row>
    <row r="163" spans="1:13" ht="15.75" thickBot="1" x14ac:dyDescent="0.3">
      <c r="A163" s="302" t="s">
        <v>794</v>
      </c>
      <c r="B163" s="225" t="s">
        <v>307</v>
      </c>
      <c r="C163" s="433" t="s">
        <v>765</v>
      </c>
      <c r="D163" s="433"/>
      <c r="E163" s="433"/>
      <c r="F163" s="226"/>
      <c r="G163" s="227">
        <f>SUM(G164:G188)</f>
        <v>0</v>
      </c>
      <c r="H163" s="228" t="s">
        <v>308</v>
      </c>
      <c r="L163" s="2"/>
      <c r="M163" s="2"/>
    </row>
    <row r="164" spans="1:13" x14ac:dyDescent="0.25">
      <c r="A164" s="303" t="s">
        <v>794</v>
      </c>
      <c r="B164" s="229" t="s">
        <v>309</v>
      </c>
      <c r="C164" s="430" t="s">
        <v>310</v>
      </c>
      <c r="D164" s="431"/>
      <c r="E164" s="431"/>
      <c r="F164" s="431"/>
      <c r="G164" s="230">
        <f>IF(H164="Si",1,0)</f>
        <v>0</v>
      </c>
      <c r="H164" s="231" t="s">
        <v>365</v>
      </c>
      <c r="L164" s="2"/>
      <c r="M164" s="2"/>
    </row>
    <row r="165" spans="1:13" x14ac:dyDescent="0.25">
      <c r="A165" s="303" t="s">
        <v>794</v>
      </c>
      <c r="B165" s="232" t="s">
        <v>311</v>
      </c>
      <c r="C165" s="428" t="s">
        <v>312</v>
      </c>
      <c r="D165" s="429"/>
      <c r="E165" s="429"/>
      <c r="F165" s="429"/>
      <c r="G165" s="230">
        <f t="shared" ref="G165:G188" si="5">IF(H165="Si",1,0)</f>
        <v>0</v>
      </c>
      <c r="H165" s="231" t="s">
        <v>365</v>
      </c>
      <c r="L165" s="2"/>
      <c r="M165" s="2"/>
    </row>
    <row r="166" spans="1:13" x14ac:dyDescent="0.25">
      <c r="A166" s="303" t="s">
        <v>794</v>
      </c>
      <c r="B166" s="229" t="s">
        <v>313</v>
      </c>
      <c r="C166" s="430" t="s">
        <v>314</v>
      </c>
      <c r="D166" s="431"/>
      <c r="E166" s="431"/>
      <c r="F166" s="431"/>
      <c r="G166" s="230">
        <f t="shared" si="5"/>
        <v>0</v>
      </c>
      <c r="H166" s="231" t="s">
        <v>365</v>
      </c>
      <c r="L166" s="2"/>
      <c r="M166" s="2"/>
    </row>
    <row r="167" spans="1:13" x14ac:dyDescent="0.25">
      <c r="A167" s="303" t="s">
        <v>794</v>
      </c>
      <c r="B167" s="232" t="s">
        <v>315</v>
      </c>
      <c r="C167" s="428" t="s">
        <v>316</v>
      </c>
      <c r="D167" s="429"/>
      <c r="E167" s="429"/>
      <c r="F167" s="429"/>
      <c r="G167" s="230">
        <f t="shared" si="5"/>
        <v>0</v>
      </c>
      <c r="H167" s="231" t="s">
        <v>365</v>
      </c>
      <c r="L167" s="2"/>
      <c r="M167" s="2"/>
    </row>
    <row r="168" spans="1:13" x14ac:dyDescent="0.25">
      <c r="A168" s="303" t="s">
        <v>794</v>
      </c>
      <c r="B168" s="229" t="s">
        <v>317</v>
      </c>
      <c r="C168" s="430" t="s">
        <v>318</v>
      </c>
      <c r="D168" s="431"/>
      <c r="E168" s="431"/>
      <c r="F168" s="431"/>
      <c r="G168" s="230">
        <f t="shared" si="5"/>
        <v>0</v>
      </c>
      <c r="H168" s="231" t="s">
        <v>365</v>
      </c>
      <c r="L168" s="2"/>
      <c r="M168" s="2"/>
    </row>
    <row r="169" spans="1:13" x14ac:dyDescent="0.25">
      <c r="A169" s="303" t="s">
        <v>794</v>
      </c>
      <c r="B169" s="232" t="s">
        <v>319</v>
      </c>
      <c r="C169" s="428" t="s">
        <v>320</v>
      </c>
      <c r="D169" s="429"/>
      <c r="E169" s="429"/>
      <c r="F169" s="429"/>
      <c r="G169" s="230">
        <f t="shared" si="5"/>
        <v>0</v>
      </c>
      <c r="H169" s="231" t="s">
        <v>365</v>
      </c>
      <c r="L169" s="2"/>
      <c r="M169" s="2"/>
    </row>
    <row r="170" spans="1:13" x14ac:dyDescent="0.25">
      <c r="A170" s="303" t="s">
        <v>794</v>
      </c>
      <c r="B170" s="229" t="s">
        <v>321</v>
      </c>
      <c r="C170" s="430" t="s">
        <v>322</v>
      </c>
      <c r="D170" s="431"/>
      <c r="E170" s="431"/>
      <c r="F170" s="431"/>
      <c r="G170" s="230">
        <f t="shared" si="5"/>
        <v>0</v>
      </c>
      <c r="H170" s="231" t="s">
        <v>365</v>
      </c>
      <c r="L170" s="2"/>
      <c r="M170" s="2"/>
    </row>
    <row r="171" spans="1:13" x14ac:dyDescent="0.25">
      <c r="A171" s="303" t="s">
        <v>794</v>
      </c>
      <c r="B171" s="232" t="s">
        <v>323</v>
      </c>
      <c r="C171" s="428" t="s">
        <v>324</v>
      </c>
      <c r="D171" s="429"/>
      <c r="E171" s="429"/>
      <c r="F171" s="429"/>
      <c r="G171" s="230">
        <f t="shared" si="5"/>
        <v>0</v>
      </c>
      <c r="H171" s="231" t="s">
        <v>365</v>
      </c>
      <c r="L171" s="2"/>
      <c r="M171" s="2"/>
    </row>
    <row r="172" spans="1:13" x14ac:dyDescent="0.25">
      <c r="A172" s="303" t="s">
        <v>794</v>
      </c>
      <c r="B172" s="229" t="s">
        <v>325</v>
      </c>
      <c r="C172" s="430" t="s">
        <v>326</v>
      </c>
      <c r="D172" s="431"/>
      <c r="E172" s="431"/>
      <c r="F172" s="431"/>
      <c r="G172" s="230">
        <f t="shared" si="5"/>
        <v>0</v>
      </c>
      <c r="H172" s="231" t="s">
        <v>365</v>
      </c>
      <c r="L172" s="2"/>
      <c r="M172" s="2"/>
    </row>
    <row r="173" spans="1:13" x14ac:dyDescent="0.25">
      <c r="A173" s="303" t="s">
        <v>794</v>
      </c>
      <c r="B173" s="232" t="s">
        <v>327</v>
      </c>
      <c r="C173" s="428" t="s">
        <v>328</v>
      </c>
      <c r="D173" s="429"/>
      <c r="E173" s="429"/>
      <c r="F173" s="429"/>
      <c r="G173" s="230">
        <f t="shared" si="5"/>
        <v>0</v>
      </c>
      <c r="H173" s="231" t="s">
        <v>365</v>
      </c>
      <c r="L173" s="2"/>
      <c r="M173" s="2"/>
    </row>
    <row r="174" spans="1:13" x14ac:dyDescent="0.25">
      <c r="A174" s="303" t="s">
        <v>794</v>
      </c>
      <c r="B174" s="229" t="s">
        <v>329</v>
      </c>
      <c r="C174" s="430" t="s">
        <v>330</v>
      </c>
      <c r="D174" s="431"/>
      <c r="E174" s="431"/>
      <c r="F174" s="431"/>
      <c r="G174" s="230">
        <f t="shared" si="5"/>
        <v>0</v>
      </c>
      <c r="H174" s="231" t="s">
        <v>365</v>
      </c>
      <c r="L174" s="2"/>
      <c r="M174" s="2"/>
    </row>
    <row r="175" spans="1:13" x14ac:dyDescent="0.25">
      <c r="A175" s="303" t="s">
        <v>794</v>
      </c>
      <c r="B175" s="232" t="s">
        <v>331</v>
      </c>
      <c r="C175" s="428" t="s">
        <v>332</v>
      </c>
      <c r="D175" s="429"/>
      <c r="E175" s="429"/>
      <c r="F175" s="429"/>
      <c r="G175" s="230">
        <f t="shared" si="5"/>
        <v>0</v>
      </c>
      <c r="H175" s="231" t="s">
        <v>365</v>
      </c>
      <c r="L175" s="2"/>
      <c r="M175" s="2"/>
    </row>
    <row r="176" spans="1:13" x14ac:dyDescent="0.25">
      <c r="A176" s="303" t="s">
        <v>794</v>
      </c>
      <c r="B176" s="229" t="s">
        <v>333</v>
      </c>
      <c r="C176" s="430" t="s">
        <v>334</v>
      </c>
      <c r="D176" s="431"/>
      <c r="E176" s="431"/>
      <c r="F176" s="431"/>
      <c r="G176" s="230">
        <f t="shared" si="5"/>
        <v>0</v>
      </c>
      <c r="H176" s="231" t="s">
        <v>365</v>
      </c>
      <c r="L176" s="2"/>
      <c r="M176" s="2"/>
    </row>
    <row r="177" spans="1:13" x14ac:dyDescent="0.25">
      <c r="A177" s="303" t="s">
        <v>794</v>
      </c>
      <c r="B177" s="232" t="s">
        <v>335</v>
      </c>
      <c r="C177" s="428" t="s">
        <v>336</v>
      </c>
      <c r="D177" s="429"/>
      <c r="E177" s="429"/>
      <c r="F177" s="429"/>
      <c r="G177" s="230">
        <f t="shared" si="5"/>
        <v>0</v>
      </c>
      <c r="H177" s="231" t="s">
        <v>365</v>
      </c>
      <c r="L177" s="2"/>
      <c r="M177" s="2"/>
    </row>
    <row r="178" spans="1:13" x14ac:dyDescent="0.25">
      <c r="A178" s="303" t="s">
        <v>794</v>
      </c>
      <c r="B178" s="229" t="s">
        <v>337</v>
      </c>
      <c r="C178" s="430" t="s">
        <v>338</v>
      </c>
      <c r="D178" s="431"/>
      <c r="E178" s="431"/>
      <c r="F178" s="431"/>
      <c r="G178" s="230">
        <f t="shared" si="5"/>
        <v>0</v>
      </c>
      <c r="H178" s="231" t="s">
        <v>365</v>
      </c>
      <c r="L178" s="2"/>
      <c r="M178" s="2"/>
    </row>
    <row r="179" spans="1:13" x14ac:dyDescent="0.25">
      <c r="A179" s="303" t="s">
        <v>794</v>
      </c>
      <c r="B179" s="232" t="s">
        <v>339</v>
      </c>
      <c r="C179" s="428" t="s">
        <v>340</v>
      </c>
      <c r="D179" s="429"/>
      <c r="E179" s="429"/>
      <c r="F179" s="429"/>
      <c r="G179" s="230">
        <f t="shared" si="5"/>
        <v>0</v>
      </c>
      <c r="H179" s="231" t="s">
        <v>365</v>
      </c>
      <c r="L179" s="2"/>
      <c r="M179" s="2"/>
    </row>
    <row r="180" spans="1:13" x14ac:dyDescent="0.25">
      <c r="A180" s="303" t="s">
        <v>794</v>
      </c>
      <c r="B180" s="229" t="s">
        <v>341</v>
      </c>
      <c r="C180" s="430" t="s">
        <v>342</v>
      </c>
      <c r="D180" s="431"/>
      <c r="E180" s="431"/>
      <c r="F180" s="431"/>
      <c r="G180" s="230">
        <f t="shared" si="5"/>
        <v>0</v>
      </c>
      <c r="H180" s="231" t="s">
        <v>365</v>
      </c>
      <c r="L180" s="2"/>
      <c r="M180" s="2"/>
    </row>
    <row r="181" spans="1:13" x14ac:dyDescent="0.25">
      <c r="A181" s="303" t="s">
        <v>794</v>
      </c>
      <c r="B181" s="232" t="s">
        <v>343</v>
      </c>
      <c r="C181" s="428" t="s">
        <v>344</v>
      </c>
      <c r="D181" s="429"/>
      <c r="E181" s="429"/>
      <c r="F181" s="429"/>
      <c r="G181" s="230">
        <f t="shared" si="5"/>
        <v>0</v>
      </c>
      <c r="H181" s="231" t="s">
        <v>365</v>
      </c>
      <c r="L181" s="2"/>
      <c r="M181" s="2"/>
    </row>
    <row r="182" spans="1:13" x14ac:dyDescent="0.25">
      <c r="A182" s="303" t="s">
        <v>794</v>
      </c>
      <c r="B182" s="229" t="s">
        <v>345</v>
      </c>
      <c r="C182" s="430" t="s">
        <v>346</v>
      </c>
      <c r="D182" s="431"/>
      <c r="E182" s="431"/>
      <c r="F182" s="431"/>
      <c r="G182" s="230">
        <f t="shared" si="5"/>
        <v>0</v>
      </c>
      <c r="H182" s="231" t="s">
        <v>365</v>
      </c>
      <c r="L182" s="2"/>
      <c r="M182" s="2"/>
    </row>
    <row r="183" spans="1:13" x14ac:dyDescent="0.25">
      <c r="A183" s="303" t="s">
        <v>794</v>
      </c>
      <c r="B183" s="232" t="s">
        <v>347</v>
      </c>
      <c r="C183" s="428" t="s">
        <v>348</v>
      </c>
      <c r="D183" s="429"/>
      <c r="E183" s="429"/>
      <c r="F183" s="429"/>
      <c r="G183" s="230">
        <f t="shared" si="5"/>
        <v>0</v>
      </c>
      <c r="H183" s="231" t="s">
        <v>365</v>
      </c>
      <c r="L183" s="2"/>
      <c r="M183" s="2"/>
    </row>
    <row r="184" spans="1:13" x14ac:dyDescent="0.25">
      <c r="A184" s="303" t="s">
        <v>794</v>
      </c>
      <c r="B184" s="229" t="s">
        <v>349</v>
      </c>
      <c r="C184" s="430" t="s">
        <v>350</v>
      </c>
      <c r="D184" s="431"/>
      <c r="E184" s="431"/>
      <c r="F184" s="431"/>
      <c r="G184" s="230">
        <f t="shared" si="5"/>
        <v>0</v>
      </c>
      <c r="H184" s="231" t="s">
        <v>365</v>
      </c>
      <c r="L184" s="2"/>
      <c r="M184" s="2"/>
    </row>
    <row r="185" spans="1:13" x14ac:dyDescent="0.25">
      <c r="A185" s="303" t="s">
        <v>794</v>
      </c>
      <c r="B185" s="232" t="s">
        <v>351</v>
      </c>
      <c r="C185" s="428" t="s">
        <v>352</v>
      </c>
      <c r="D185" s="429"/>
      <c r="E185" s="429"/>
      <c r="F185" s="429"/>
      <c r="G185" s="230">
        <f t="shared" si="5"/>
        <v>0</v>
      </c>
      <c r="H185" s="231" t="s">
        <v>365</v>
      </c>
      <c r="L185" s="2"/>
      <c r="M185" s="2"/>
    </row>
    <row r="186" spans="1:13" x14ac:dyDescent="0.25">
      <c r="A186" s="303" t="s">
        <v>794</v>
      </c>
      <c r="B186" s="229" t="s">
        <v>353</v>
      </c>
      <c r="C186" s="430" t="s">
        <v>354</v>
      </c>
      <c r="D186" s="431"/>
      <c r="E186" s="431"/>
      <c r="F186" s="431"/>
      <c r="G186" s="230">
        <f t="shared" si="5"/>
        <v>0</v>
      </c>
      <c r="H186" s="231" t="s">
        <v>365</v>
      </c>
      <c r="L186" s="2"/>
      <c r="M186" s="2"/>
    </row>
    <row r="187" spans="1:13" x14ac:dyDescent="0.25">
      <c r="A187" s="303" t="s">
        <v>794</v>
      </c>
      <c r="B187" s="232" t="s">
        <v>355</v>
      </c>
      <c r="C187" s="428" t="s">
        <v>356</v>
      </c>
      <c r="D187" s="429"/>
      <c r="E187" s="429"/>
      <c r="F187" s="429"/>
      <c r="G187" s="230">
        <f t="shared" si="5"/>
        <v>0</v>
      </c>
      <c r="H187" s="231" t="s">
        <v>365</v>
      </c>
      <c r="L187" s="2"/>
      <c r="M187" s="2"/>
    </row>
    <row r="188" spans="1:13" ht="15.75" thickBot="1" x14ac:dyDescent="0.3">
      <c r="A188" s="303" t="s">
        <v>794</v>
      </c>
      <c r="B188" s="229" t="s">
        <v>357</v>
      </c>
      <c r="C188" s="430" t="s">
        <v>358</v>
      </c>
      <c r="D188" s="431"/>
      <c r="E188" s="431"/>
      <c r="F188" s="431"/>
      <c r="G188" s="233">
        <f t="shared" si="5"/>
        <v>0</v>
      </c>
      <c r="H188" s="234" t="s">
        <v>365</v>
      </c>
      <c r="L188" s="2"/>
      <c r="M188" s="2"/>
    </row>
    <row r="189" spans="1:13" ht="18.75" x14ac:dyDescent="0.25">
      <c r="A189" s="273" t="s">
        <v>541</v>
      </c>
      <c r="B189" s="432" t="s">
        <v>540</v>
      </c>
      <c r="C189" s="432"/>
      <c r="D189" s="432"/>
      <c r="E189" s="432"/>
      <c r="F189" s="432"/>
      <c r="G189" s="432"/>
      <c r="H189" s="432"/>
      <c r="I189" s="432"/>
      <c r="J189" s="432"/>
      <c r="K189" s="432"/>
      <c r="L189" s="222"/>
      <c r="M189" s="222"/>
    </row>
    <row r="190" spans="1:13" ht="15.75" thickBot="1" x14ac:dyDescent="0.3">
      <c r="A190" s="284" t="s">
        <v>541</v>
      </c>
      <c r="B190" s="93" t="s">
        <v>766</v>
      </c>
      <c r="C190" s="93"/>
      <c r="D190" s="235"/>
      <c r="E190" s="93"/>
      <c r="F190" s="224"/>
      <c r="G190" s="93"/>
      <c r="H190" s="93"/>
      <c r="I190" s="93"/>
      <c r="J190" s="93"/>
      <c r="K190" s="93"/>
      <c r="L190" s="224"/>
      <c r="M190" s="224"/>
    </row>
    <row r="191" spans="1:13" ht="15.75" thickBot="1" x14ac:dyDescent="0.3">
      <c r="A191" s="296" t="s">
        <v>788</v>
      </c>
      <c r="B191" s="424" t="s">
        <v>796</v>
      </c>
      <c r="C191" s="425"/>
      <c r="D191" s="425"/>
      <c r="E191" s="425"/>
      <c r="F191" s="425"/>
      <c r="G191" s="425"/>
      <c r="H191" s="425"/>
      <c r="I191" s="425"/>
      <c r="J191" s="425"/>
      <c r="K191" s="426"/>
      <c r="L191" s="164"/>
      <c r="M191" s="164"/>
    </row>
    <row r="192" spans="1:13" ht="15.75" thickBot="1" x14ac:dyDescent="0.3">
      <c r="A192" s="302" t="s">
        <v>541</v>
      </c>
      <c r="B192" s="236" t="s">
        <v>14</v>
      </c>
      <c r="C192" s="437" t="s">
        <v>379</v>
      </c>
      <c r="D192" s="438"/>
      <c r="E192" s="438"/>
      <c r="F192" s="237"/>
      <c r="G192" s="238">
        <f>SUM(G193:G272)</f>
        <v>0</v>
      </c>
      <c r="H192" s="239" t="s">
        <v>308</v>
      </c>
      <c r="L192" s="2"/>
      <c r="M192" s="2"/>
    </row>
    <row r="193" spans="1:13" ht="28.5" customHeight="1" x14ac:dyDescent="0.25">
      <c r="A193" s="303" t="s">
        <v>541</v>
      </c>
      <c r="B193" s="229" t="s">
        <v>381</v>
      </c>
      <c r="C193" s="430" t="s">
        <v>380</v>
      </c>
      <c r="D193" s="431"/>
      <c r="E193" s="431"/>
      <c r="F193" s="431"/>
      <c r="G193" s="240">
        <f>IF(H193=Listas!$A$3,1,0)</f>
        <v>0</v>
      </c>
      <c r="H193" s="231" t="s">
        <v>365</v>
      </c>
      <c r="L193" s="2"/>
      <c r="M193" s="2"/>
    </row>
    <row r="194" spans="1:13" x14ac:dyDescent="0.25">
      <c r="A194" s="303" t="s">
        <v>541</v>
      </c>
      <c r="B194" s="232" t="s">
        <v>383</v>
      </c>
      <c r="C194" s="428" t="s">
        <v>382</v>
      </c>
      <c r="D194" s="429"/>
      <c r="E194" s="429"/>
      <c r="F194" s="429"/>
      <c r="G194" s="240">
        <f>IF(H194=Listas!$A$3,1,0)</f>
        <v>0</v>
      </c>
      <c r="H194" s="231" t="s">
        <v>365</v>
      </c>
      <c r="L194" s="2"/>
      <c r="M194" s="2"/>
    </row>
    <row r="195" spans="1:13" x14ac:dyDescent="0.25">
      <c r="A195" s="303" t="s">
        <v>541</v>
      </c>
      <c r="B195" s="229" t="s">
        <v>385</v>
      </c>
      <c r="C195" s="430" t="s">
        <v>384</v>
      </c>
      <c r="D195" s="431"/>
      <c r="E195" s="431"/>
      <c r="F195" s="431"/>
      <c r="G195" s="240">
        <f>IF(H195=Listas!$A$3,1,0)</f>
        <v>0</v>
      </c>
      <c r="H195" s="231" t="s">
        <v>365</v>
      </c>
      <c r="L195" s="2"/>
      <c r="M195" s="2"/>
    </row>
    <row r="196" spans="1:13" ht="28.5" customHeight="1" x14ac:dyDescent="0.25">
      <c r="A196" s="303" t="s">
        <v>541</v>
      </c>
      <c r="B196" s="232" t="s">
        <v>387</v>
      </c>
      <c r="C196" s="428" t="s">
        <v>386</v>
      </c>
      <c r="D196" s="429"/>
      <c r="E196" s="429"/>
      <c r="F196" s="429"/>
      <c r="G196" s="240">
        <f>IF(H196=Listas!$A$3,1,0)</f>
        <v>0</v>
      </c>
      <c r="H196" s="231" t="s">
        <v>365</v>
      </c>
      <c r="L196" s="2"/>
      <c r="M196" s="2"/>
    </row>
    <row r="197" spans="1:13" ht="28.5" customHeight="1" x14ac:dyDescent="0.25">
      <c r="A197" s="303" t="s">
        <v>541</v>
      </c>
      <c r="B197" s="229" t="s">
        <v>389</v>
      </c>
      <c r="C197" s="430" t="s">
        <v>388</v>
      </c>
      <c r="D197" s="431"/>
      <c r="E197" s="431"/>
      <c r="F197" s="431"/>
      <c r="G197" s="240">
        <f>IF(H197=Listas!$A$3,1,0)</f>
        <v>0</v>
      </c>
      <c r="H197" s="231" t="s">
        <v>365</v>
      </c>
      <c r="L197" s="2"/>
      <c r="M197" s="2"/>
    </row>
    <row r="198" spans="1:13" ht="28.5" customHeight="1" x14ac:dyDescent="0.25">
      <c r="A198" s="303" t="s">
        <v>541</v>
      </c>
      <c r="B198" s="232" t="s">
        <v>391</v>
      </c>
      <c r="C198" s="428" t="s">
        <v>390</v>
      </c>
      <c r="D198" s="429"/>
      <c r="E198" s="429"/>
      <c r="F198" s="429"/>
      <c r="G198" s="240">
        <f>IF(H198=Listas!$A$3,1,0)</f>
        <v>0</v>
      </c>
      <c r="H198" s="231" t="s">
        <v>365</v>
      </c>
      <c r="L198" s="2"/>
      <c r="M198" s="2"/>
    </row>
    <row r="199" spans="1:13" x14ac:dyDescent="0.25">
      <c r="A199" s="303" t="s">
        <v>541</v>
      </c>
      <c r="B199" s="229" t="s">
        <v>393</v>
      </c>
      <c r="C199" s="430" t="s">
        <v>392</v>
      </c>
      <c r="D199" s="431"/>
      <c r="E199" s="431"/>
      <c r="F199" s="431"/>
      <c r="G199" s="240">
        <f>IF(H199=Listas!$A$3,1,0)</f>
        <v>0</v>
      </c>
      <c r="H199" s="231" t="s">
        <v>365</v>
      </c>
      <c r="L199" s="2"/>
      <c r="M199" s="2"/>
    </row>
    <row r="200" spans="1:13" ht="28.5" customHeight="1" x14ac:dyDescent="0.25">
      <c r="A200" s="303" t="s">
        <v>541</v>
      </c>
      <c r="B200" s="232" t="s">
        <v>395</v>
      </c>
      <c r="C200" s="428" t="s">
        <v>394</v>
      </c>
      <c r="D200" s="429"/>
      <c r="E200" s="429"/>
      <c r="F200" s="429"/>
      <c r="G200" s="240">
        <f>IF(H200=Listas!$A$3,1,0)</f>
        <v>0</v>
      </c>
      <c r="H200" s="231" t="s">
        <v>365</v>
      </c>
      <c r="L200" s="2"/>
      <c r="M200" s="2"/>
    </row>
    <row r="201" spans="1:13" ht="28.5" customHeight="1" x14ac:dyDescent="0.25">
      <c r="A201" s="303" t="s">
        <v>541</v>
      </c>
      <c r="B201" s="229" t="s">
        <v>397</v>
      </c>
      <c r="C201" s="430" t="s">
        <v>396</v>
      </c>
      <c r="D201" s="431"/>
      <c r="E201" s="431"/>
      <c r="F201" s="431"/>
      <c r="G201" s="240">
        <f>IF(H201=Listas!$A$3,1,0)</f>
        <v>0</v>
      </c>
      <c r="H201" s="231" t="s">
        <v>365</v>
      </c>
      <c r="L201" s="2"/>
      <c r="M201" s="2"/>
    </row>
    <row r="202" spans="1:13" ht="28.5" customHeight="1" x14ac:dyDescent="0.25">
      <c r="A202" s="303" t="s">
        <v>541</v>
      </c>
      <c r="B202" s="232" t="s">
        <v>399</v>
      </c>
      <c r="C202" s="428" t="s">
        <v>398</v>
      </c>
      <c r="D202" s="429"/>
      <c r="E202" s="429"/>
      <c r="F202" s="429"/>
      <c r="G202" s="240">
        <f>IF(H202=Listas!$A$3,1,0)</f>
        <v>0</v>
      </c>
      <c r="H202" s="231" t="s">
        <v>365</v>
      </c>
      <c r="L202" s="2"/>
      <c r="M202" s="2"/>
    </row>
    <row r="203" spans="1:13" ht="28.5" customHeight="1" x14ac:dyDescent="0.25">
      <c r="A203" s="303" t="s">
        <v>541</v>
      </c>
      <c r="B203" s="229" t="s">
        <v>401</v>
      </c>
      <c r="C203" s="430" t="s">
        <v>400</v>
      </c>
      <c r="D203" s="431"/>
      <c r="E203" s="431"/>
      <c r="F203" s="431"/>
      <c r="G203" s="240">
        <f>IF(H203=Listas!$A$3,1,0)</f>
        <v>0</v>
      </c>
      <c r="H203" s="231" t="s">
        <v>365</v>
      </c>
      <c r="L203" s="2"/>
      <c r="M203" s="2"/>
    </row>
    <row r="204" spans="1:13" ht="28.5" customHeight="1" x14ac:dyDescent="0.25">
      <c r="A204" s="303" t="s">
        <v>541</v>
      </c>
      <c r="B204" s="232" t="s">
        <v>403</v>
      </c>
      <c r="C204" s="428" t="s">
        <v>402</v>
      </c>
      <c r="D204" s="429"/>
      <c r="E204" s="429"/>
      <c r="F204" s="429"/>
      <c r="G204" s="240">
        <f>IF(H204=Listas!$A$3,1,0)</f>
        <v>0</v>
      </c>
      <c r="H204" s="231" t="s">
        <v>365</v>
      </c>
      <c r="L204" s="2"/>
      <c r="M204" s="2"/>
    </row>
    <row r="205" spans="1:13" ht="28.5" customHeight="1" x14ac:dyDescent="0.25">
      <c r="A205" s="303" t="s">
        <v>541</v>
      </c>
      <c r="B205" s="229" t="s">
        <v>405</v>
      </c>
      <c r="C205" s="430" t="s">
        <v>404</v>
      </c>
      <c r="D205" s="431"/>
      <c r="E205" s="431"/>
      <c r="F205" s="431"/>
      <c r="G205" s="240">
        <f>IF(H205=Listas!$A$3,1,0)</f>
        <v>0</v>
      </c>
      <c r="H205" s="231" t="s">
        <v>365</v>
      </c>
      <c r="L205" s="2"/>
      <c r="M205" s="2"/>
    </row>
    <row r="206" spans="1:13" ht="28.5" customHeight="1" x14ac:dyDescent="0.25">
      <c r="A206" s="303" t="s">
        <v>541</v>
      </c>
      <c r="B206" s="232" t="s">
        <v>407</v>
      </c>
      <c r="C206" s="428" t="s">
        <v>406</v>
      </c>
      <c r="D206" s="429"/>
      <c r="E206" s="429"/>
      <c r="F206" s="429"/>
      <c r="G206" s="240">
        <f>IF(H206=Listas!$A$3,1,0)</f>
        <v>0</v>
      </c>
      <c r="H206" s="231" t="s">
        <v>365</v>
      </c>
      <c r="L206" s="2"/>
      <c r="M206" s="2"/>
    </row>
    <row r="207" spans="1:13" ht="28.5" customHeight="1" x14ac:dyDescent="0.25">
      <c r="A207" s="303" t="s">
        <v>541</v>
      </c>
      <c r="B207" s="229" t="s">
        <v>409</v>
      </c>
      <c r="C207" s="430" t="s">
        <v>408</v>
      </c>
      <c r="D207" s="431"/>
      <c r="E207" s="431"/>
      <c r="F207" s="431"/>
      <c r="G207" s="240">
        <f>IF(H207=Listas!$A$3,1,0)</f>
        <v>0</v>
      </c>
      <c r="H207" s="231" t="s">
        <v>365</v>
      </c>
      <c r="L207" s="2"/>
      <c r="M207" s="2"/>
    </row>
    <row r="208" spans="1:13" ht="28.5" customHeight="1" x14ac:dyDescent="0.25">
      <c r="A208" s="303" t="s">
        <v>541</v>
      </c>
      <c r="B208" s="232" t="s">
        <v>411</v>
      </c>
      <c r="C208" s="428" t="s">
        <v>410</v>
      </c>
      <c r="D208" s="429"/>
      <c r="E208" s="429"/>
      <c r="F208" s="429"/>
      <c r="G208" s="240">
        <f>IF(H208=Listas!$A$3,1,0)</f>
        <v>0</v>
      </c>
      <c r="H208" s="231" t="s">
        <v>365</v>
      </c>
      <c r="L208" s="2"/>
      <c r="M208" s="2"/>
    </row>
    <row r="209" spans="1:13" ht="28.5" customHeight="1" x14ac:dyDescent="0.25">
      <c r="A209" s="303" t="s">
        <v>541</v>
      </c>
      <c r="B209" s="229" t="s">
        <v>413</v>
      </c>
      <c r="C209" s="430" t="s">
        <v>412</v>
      </c>
      <c r="D209" s="431"/>
      <c r="E209" s="431"/>
      <c r="F209" s="431"/>
      <c r="G209" s="240">
        <f>IF(H209=Listas!$A$3,1,0)</f>
        <v>0</v>
      </c>
      <c r="H209" s="231" t="s">
        <v>365</v>
      </c>
      <c r="L209" s="2"/>
      <c r="M209" s="2"/>
    </row>
    <row r="210" spans="1:13" ht="28.5" customHeight="1" x14ac:dyDescent="0.25">
      <c r="A210" s="303" t="s">
        <v>541</v>
      </c>
      <c r="B210" s="232" t="s">
        <v>415</v>
      </c>
      <c r="C210" s="428" t="s">
        <v>414</v>
      </c>
      <c r="D210" s="429"/>
      <c r="E210" s="429"/>
      <c r="F210" s="429"/>
      <c r="G210" s="240">
        <f>IF(H210=Listas!$A$3,1,0)</f>
        <v>0</v>
      </c>
      <c r="H210" s="231" t="s">
        <v>365</v>
      </c>
      <c r="L210" s="2"/>
      <c r="M210" s="2"/>
    </row>
    <row r="211" spans="1:13" x14ac:dyDescent="0.25">
      <c r="A211" s="303" t="s">
        <v>541</v>
      </c>
      <c r="B211" s="229" t="s">
        <v>417</v>
      </c>
      <c r="C211" s="430" t="s">
        <v>416</v>
      </c>
      <c r="D211" s="431"/>
      <c r="E211" s="431"/>
      <c r="F211" s="431"/>
      <c r="G211" s="240">
        <f>IF(H211=Listas!$A$3,1,0)</f>
        <v>0</v>
      </c>
      <c r="H211" s="231" t="s">
        <v>365</v>
      </c>
      <c r="L211" s="2"/>
      <c r="M211" s="2"/>
    </row>
    <row r="212" spans="1:13" ht="28.5" customHeight="1" x14ac:dyDescent="0.25">
      <c r="A212" s="303" t="s">
        <v>541</v>
      </c>
      <c r="B212" s="232" t="s">
        <v>419</v>
      </c>
      <c r="C212" s="428" t="s">
        <v>418</v>
      </c>
      <c r="D212" s="429"/>
      <c r="E212" s="429"/>
      <c r="F212" s="429"/>
      <c r="G212" s="240">
        <f>IF(H212=Listas!$A$3,1,0)</f>
        <v>0</v>
      </c>
      <c r="H212" s="231" t="s">
        <v>365</v>
      </c>
      <c r="L212" s="2"/>
      <c r="M212" s="2"/>
    </row>
    <row r="213" spans="1:13" x14ac:dyDescent="0.25">
      <c r="A213" s="303" t="s">
        <v>541</v>
      </c>
      <c r="B213" s="229" t="s">
        <v>421</v>
      </c>
      <c r="C213" s="430" t="s">
        <v>420</v>
      </c>
      <c r="D213" s="431"/>
      <c r="E213" s="431"/>
      <c r="F213" s="431"/>
      <c r="G213" s="240">
        <f>IF(H213=Listas!$A$3,1,0)</f>
        <v>0</v>
      </c>
      <c r="H213" s="231" t="s">
        <v>365</v>
      </c>
      <c r="L213" s="2"/>
      <c r="M213" s="2"/>
    </row>
    <row r="214" spans="1:13" x14ac:dyDescent="0.25">
      <c r="A214" s="303" t="s">
        <v>541</v>
      </c>
      <c r="B214" s="232" t="s">
        <v>423</v>
      </c>
      <c r="C214" s="428" t="s">
        <v>422</v>
      </c>
      <c r="D214" s="429"/>
      <c r="E214" s="429"/>
      <c r="F214" s="429"/>
      <c r="G214" s="240">
        <f>IF(H214=Listas!$A$3,1,0)</f>
        <v>0</v>
      </c>
      <c r="H214" s="231" t="s">
        <v>365</v>
      </c>
      <c r="L214" s="2"/>
      <c r="M214" s="2"/>
    </row>
    <row r="215" spans="1:13" x14ac:dyDescent="0.25">
      <c r="A215" s="303" t="s">
        <v>541</v>
      </c>
      <c r="B215" s="229" t="s">
        <v>425</v>
      </c>
      <c r="C215" s="430" t="s">
        <v>424</v>
      </c>
      <c r="D215" s="431"/>
      <c r="E215" s="431"/>
      <c r="F215" s="431"/>
      <c r="G215" s="240">
        <f>IF(H215=Listas!$A$3,1,0)</f>
        <v>0</v>
      </c>
      <c r="H215" s="231" t="s">
        <v>365</v>
      </c>
      <c r="L215" s="2"/>
      <c r="M215" s="2"/>
    </row>
    <row r="216" spans="1:13" ht="28.5" customHeight="1" x14ac:dyDescent="0.25">
      <c r="A216" s="303" t="s">
        <v>541</v>
      </c>
      <c r="B216" s="232" t="s">
        <v>427</v>
      </c>
      <c r="C216" s="428" t="s">
        <v>426</v>
      </c>
      <c r="D216" s="429"/>
      <c r="E216" s="429"/>
      <c r="F216" s="429"/>
      <c r="G216" s="240">
        <f>IF(H216=Listas!$A$3,1,0)</f>
        <v>0</v>
      </c>
      <c r="H216" s="231" t="s">
        <v>365</v>
      </c>
      <c r="L216" s="2"/>
      <c r="M216" s="2"/>
    </row>
    <row r="217" spans="1:13" x14ac:dyDescent="0.25">
      <c r="A217" s="303" t="s">
        <v>541</v>
      </c>
      <c r="B217" s="229" t="s">
        <v>429</v>
      </c>
      <c r="C217" s="430" t="s">
        <v>428</v>
      </c>
      <c r="D217" s="431"/>
      <c r="E217" s="431"/>
      <c r="F217" s="431"/>
      <c r="G217" s="240">
        <f>IF(H217=Listas!$A$3,1,0)</f>
        <v>0</v>
      </c>
      <c r="H217" s="231" t="s">
        <v>365</v>
      </c>
      <c r="L217" s="2"/>
      <c r="M217" s="2"/>
    </row>
    <row r="218" spans="1:13" ht="28.5" customHeight="1" x14ac:dyDescent="0.25">
      <c r="A218" s="303" t="s">
        <v>541</v>
      </c>
      <c r="B218" s="232" t="s">
        <v>431</v>
      </c>
      <c r="C218" s="428" t="s">
        <v>430</v>
      </c>
      <c r="D218" s="429"/>
      <c r="E218" s="429"/>
      <c r="F218" s="429"/>
      <c r="G218" s="240">
        <f>IF(H218=Listas!$A$3,1,0)</f>
        <v>0</v>
      </c>
      <c r="H218" s="231" t="s">
        <v>365</v>
      </c>
      <c r="L218" s="2"/>
      <c r="M218" s="2"/>
    </row>
    <row r="219" spans="1:13" ht="28.5" customHeight="1" x14ac:dyDescent="0.25">
      <c r="A219" s="303" t="s">
        <v>541</v>
      </c>
      <c r="B219" s="229" t="s">
        <v>433</v>
      </c>
      <c r="C219" s="430" t="s">
        <v>432</v>
      </c>
      <c r="D219" s="431"/>
      <c r="E219" s="431"/>
      <c r="F219" s="431"/>
      <c r="G219" s="240">
        <f>IF(H219=Listas!$A$3,1,0)</f>
        <v>0</v>
      </c>
      <c r="H219" s="231" t="s">
        <v>365</v>
      </c>
      <c r="L219" s="2"/>
      <c r="M219" s="2"/>
    </row>
    <row r="220" spans="1:13" ht="28.5" customHeight="1" x14ac:dyDescent="0.25">
      <c r="A220" s="303" t="s">
        <v>541</v>
      </c>
      <c r="B220" s="232" t="s">
        <v>435</v>
      </c>
      <c r="C220" s="428" t="s">
        <v>434</v>
      </c>
      <c r="D220" s="429"/>
      <c r="E220" s="429"/>
      <c r="F220" s="429"/>
      <c r="G220" s="240">
        <f>IF(H220=Listas!$A$3,1,0)</f>
        <v>0</v>
      </c>
      <c r="H220" s="231" t="s">
        <v>365</v>
      </c>
      <c r="L220" s="2"/>
      <c r="M220" s="2"/>
    </row>
    <row r="221" spans="1:13" ht="28.5" customHeight="1" x14ac:dyDescent="0.25">
      <c r="A221" s="303" t="s">
        <v>541</v>
      </c>
      <c r="B221" s="229" t="s">
        <v>437</v>
      </c>
      <c r="C221" s="430" t="s">
        <v>436</v>
      </c>
      <c r="D221" s="431"/>
      <c r="E221" s="431"/>
      <c r="F221" s="431"/>
      <c r="G221" s="240">
        <f>IF(H221=Listas!$A$3,1,0)</f>
        <v>0</v>
      </c>
      <c r="H221" s="231" t="s">
        <v>365</v>
      </c>
      <c r="L221" s="2"/>
      <c r="M221" s="2"/>
    </row>
    <row r="222" spans="1:13" ht="28.5" customHeight="1" x14ac:dyDescent="0.25">
      <c r="A222" s="303" t="s">
        <v>541</v>
      </c>
      <c r="B222" s="232" t="s">
        <v>439</v>
      </c>
      <c r="C222" s="428" t="s">
        <v>438</v>
      </c>
      <c r="D222" s="429"/>
      <c r="E222" s="429"/>
      <c r="F222" s="429"/>
      <c r="G222" s="240">
        <f>IF(H222=Listas!$A$3,1,0)</f>
        <v>0</v>
      </c>
      <c r="H222" s="231" t="s">
        <v>365</v>
      </c>
      <c r="L222" s="2"/>
      <c r="M222" s="2"/>
    </row>
    <row r="223" spans="1:13" ht="28.5" customHeight="1" x14ac:dyDescent="0.25">
      <c r="A223" s="303" t="s">
        <v>541</v>
      </c>
      <c r="B223" s="229" t="s">
        <v>441</v>
      </c>
      <c r="C223" s="430" t="s">
        <v>440</v>
      </c>
      <c r="D223" s="431"/>
      <c r="E223" s="431"/>
      <c r="F223" s="431"/>
      <c r="G223" s="240">
        <f>IF(H223=Listas!$A$3,1,0)</f>
        <v>0</v>
      </c>
      <c r="H223" s="231" t="s">
        <v>365</v>
      </c>
      <c r="L223" s="2"/>
      <c r="M223" s="2"/>
    </row>
    <row r="224" spans="1:13" ht="28.5" customHeight="1" x14ac:dyDescent="0.25">
      <c r="A224" s="303" t="s">
        <v>541</v>
      </c>
      <c r="B224" s="232" t="s">
        <v>443</v>
      </c>
      <c r="C224" s="428" t="s">
        <v>442</v>
      </c>
      <c r="D224" s="429"/>
      <c r="E224" s="429"/>
      <c r="F224" s="429"/>
      <c r="G224" s="240">
        <f>IF(H224=Listas!$A$3,1,0)</f>
        <v>0</v>
      </c>
      <c r="H224" s="231" t="s">
        <v>365</v>
      </c>
      <c r="L224" s="2"/>
      <c r="M224" s="2"/>
    </row>
    <row r="225" spans="1:13" ht="28.5" customHeight="1" x14ac:dyDescent="0.25">
      <c r="A225" s="303" t="s">
        <v>541</v>
      </c>
      <c r="B225" s="229" t="s">
        <v>445</v>
      </c>
      <c r="C225" s="430" t="s">
        <v>444</v>
      </c>
      <c r="D225" s="431"/>
      <c r="E225" s="431"/>
      <c r="F225" s="431"/>
      <c r="G225" s="240">
        <f>IF(H225=Listas!$A$3,1,0)</f>
        <v>0</v>
      </c>
      <c r="H225" s="231" t="s">
        <v>365</v>
      </c>
      <c r="L225" s="2"/>
      <c r="M225" s="2"/>
    </row>
    <row r="226" spans="1:13" x14ac:dyDescent="0.25">
      <c r="A226" s="303" t="s">
        <v>541</v>
      </c>
      <c r="B226" s="232" t="s">
        <v>447</v>
      </c>
      <c r="C226" s="428" t="s">
        <v>446</v>
      </c>
      <c r="D226" s="429"/>
      <c r="E226" s="429"/>
      <c r="F226" s="429"/>
      <c r="G226" s="240">
        <f>IF(H226=Listas!$A$3,1,0)</f>
        <v>0</v>
      </c>
      <c r="H226" s="231" t="s">
        <v>365</v>
      </c>
      <c r="L226" s="2"/>
      <c r="M226" s="2"/>
    </row>
    <row r="227" spans="1:13" ht="28.5" customHeight="1" x14ac:dyDescent="0.25">
      <c r="A227" s="303" t="s">
        <v>541</v>
      </c>
      <c r="B227" s="229" t="s">
        <v>449</v>
      </c>
      <c r="C227" s="430" t="s">
        <v>448</v>
      </c>
      <c r="D227" s="431"/>
      <c r="E227" s="431"/>
      <c r="F227" s="431"/>
      <c r="G227" s="240">
        <f>IF(H227=Listas!$A$3,1,0)</f>
        <v>0</v>
      </c>
      <c r="H227" s="231" t="s">
        <v>365</v>
      </c>
      <c r="L227" s="2"/>
      <c r="M227" s="2"/>
    </row>
    <row r="228" spans="1:13" ht="28.5" customHeight="1" x14ac:dyDescent="0.25">
      <c r="A228" s="303" t="s">
        <v>541</v>
      </c>
      <c r="B228" s="232" t="s">
        <v>451</v>
      </c>
      <c r="C228" s="428" t="s">
        <v>450</v>
      </c>
      <c r="D228" s="429"/>
      <c r="E228" s="429"/>
      <c r="F228" s="429"/>
      <c r="G228" s="240">
        <f>IF(H228=Listas!$A$3,1,0)</f>
        <v>0</v>
      </c>
      <c r="H228" s="231" t="s">
        <v>365</v>
      </c>
      <c r="L228" s="2"/>
      <c r="M228" s="2"/>
    </row>
    <row r="229" spans="1:13" ht="28.5" customHeight="1" x14ac:dyDescent="0.25">
      <c r="A229" s="303" t="s">
        <v>541</v>
      </c>
      <c r="B229" s="229" t="s">
        <v>453</v>
      </c>
      <c r="C229" s="430" t="s">
        <v>452</v>
      </c>
      <c r="D229" s="431"/>
      <c r="E229" s="431"/>
      <c r="F229" s="431"/>
      <c r="G229" s="240">
        <f>IF(H229=Listas!$A$3,1,0)</f>
        <v>0</v>
      </c>
      <c r="H229" s="231" t="s">
        <v>365</v>
      </c>
      <c r="L229" s="2"/>
      <c r="M229" s="2"/>
    </row>
    <row r="230" spans="1:13" ht="28.5" customHeight="1" x14ac:dyDescent="0.25">
      <c r="A230" s="303" t="s">
        <v>541</v>
      </c>
      <c r="B230" s="232" t="s">
        <v>455</v>
      </c>
      <c r="C230" s="428" t="s">
        <v>454</v>
      </c>
      <c r="D230" s="429"/>
      <c r="E230" s="429"/>
      <c r="F230" s="429"/>
      <c r="G230" s="240">
        <f>IF(H230=Listas!$A$3,1,0)</f>
        <v>0</v>
      </c>
      <c r="H230" s="231" t="s">
        <v>365</v>
      </c>
      <c r="L230" s="2"/>
      <c r="M230" s="2"/>
    </row>
    <row r="231" spans="1:13" ht="28.5" customHeight="1" x14ac:dyDescent="0.25">
      <c r="A231" s="303" t="s">
        <v>541</v>
      </c>
      <c r="B231" s="229" t="s">
        <v>457</v>
      </c>
      <c r="C231" s="430" t="s">
        <v>456</v>
      </c>
      <c r="D231" s="431"/>
      <c r="E231" s="431"/>
      <c r="F231" s="431"/>
      <c r="G231" s="240">
        <f>IF(H231=Listas!$A$3,1,0)</f>
        <v>0</v>
      </c>
      <c r="H231" s="231" t="s">
        <v>365</v>
      </c>
      <c r="L231" s="2"/>
      <c r="M231" s="2"/>
    </row>
    <row r="232" spans="1:13" ht="28.5" customHeight="1" x14ac:dyDescent="0.25">
      <c r="A232" s="303" t="s">
        <v>541</v>
      </c>
      <c r="B232" s="232" t="s">
        <v>459</v>
      </c>
      <c r="C232" s="428" t="s">
        <v>458</v>
      </c>
      <c r="D232" s="429"/>
      <c r="E232" s="429"/>
      <c r="F232" s="429"/>
      <c r="G232" s="240">
        <f>IF(H232=Listas!$A$3,1,0)</f>
        <v>0</v>
      </c>
      <c r="H232" s="231" t="s">
        <v>365</v>
      </c>
      <c r="L232" s="2"/>
      <c r="M232" s="2"/>
    </row>
    <row r="233" spans="1:13" x14ac:dyDescent="0.25">
      <c r="A233" s="303" t="s">
        <v>541</v>
      </c>
      <c r="B233" s="229" t="s">
        <v>461</v>
      </c>
      <c r="C233" s="430" t="s">
        <v>460</v>
      </c>
      <c r="D233" s="431"/>
      <c r="E233" s="431"/>
      <c r="F233" s="431"/>
      <c r="G233" s="240">
        <f>IF(H233=Listas!$A$3,1,0)</f>
        <v>0</v>
      </c>
      <c r="H233" s="231" t="s">
        <v>365</v>
      </c>
      <c r="L233" s="2"/>
      <c r="M233" s="2"/>
    </row>
    <row r="234" spans="1:13" ht="28.5" customHeight="1" x14ac:dyDescent="0.25">
      <c r="A234" s="303" t="s">
        <v>541</v>
      </c>
      <c r="B234" s="232" t="s">
        <v>463</v>
      </c>
      <c r="C234" s="428" t="s">
        <v>462</v>
      </c>
      <c r="D234" s="429"/>
      <c r="E234" s="429"/>
      <c r="F234" s="429"/>
      <c r="G234" s="240">
        <f>IF(H234=Listas!$A$3,1,0)</f>
        <v>0</v>
      </c>
      <c r="H234" s="231" t="s">
        <v>365</v>
      </c>
      <c r="L234" s="2"/>
      <c r="M234" s="2"/>
    </row>
    <row r="235" spans="1:13" ht="28.5" customHeight="1" x14ac:dyDescent="0.25">
      <c r="A235" s="303" t="s">
        <v>541</v>
      </c>
      <c r="B235" s="229" t="s">
        <v>465</v>
      </c>
      <c r="C235" s="430" t="s">
        <v>464</v>
      </c>
      <c r="D235" s="431"/>
      <c r="E235" s="431"/>
      <c r="F235" s="431"/>
      <c r="G235" s="240">
        <f>IF(H235=Listas!$A$3,1,0)</f>
        <v>0</v>
      </c>
      <c r="H235" s="231" t="s">
        <v>365</v>
      </c>
      <c r="L235" s="2"/>
      <c r="M235" s="2"/>
    </row>
    <row r="236" spans="1:13" ht="28.5" customHeight="1" x14ac:dyDescent="0.25">
      <c r="A236" s="303" t="s">
        <v>541</v>
      </c>
      <c r="B236" s="232" t="s">
        <v>467</v>
      </c>
      <c r="C236" s="428" t="s">
        <v>466</v>
      </c>
      <c r="D236" s="429"/>
      <c r="E236" s="429"/>
      <c r="F236" s="429"/>
      <c r="G236" s="240">
        <f>IF(H236=Listas!$A$3,1,0)</f>
        <v>0</v>
      </c>
      <c r="H236" s="231" t="s">
        <v>365</v>
      </c>
      <c r="L236" s="2"/>
      <c r="M236" s="2"/>
    </row>
    <row r="237" spans="1:13" x14ac:dyDescent="0.25">
      <c r="A237" s="303" t="s">
        <v>541</v>
      </c>
      <c r="B237" s="229" t="s">
        <v>469</v>
      </c>
      <c r="C237" s="430" t="s">
        <v>468</v>
      </c>
      <c r="D237" s="431"/>
      <c r="E237" s="431"/>
      <c r="F237" s="431"/>
      <c r="G237" s="240">
        <f>IF(H237=Listas!$A$3,1,0)</f>
        <v>0</v>
      </c>
      <c r="H237" s="231" t="s">
        <v>365</v>
      </c>
      <c r="L237" s="2"/>
      <c r="M237" s="2"/>
    </row>
    <row r="238" spans="1:13" ht="28.5" customHeight="1" x14ac:dyDescent="0.25">
      <c r="A238" s="303" t="s">
        <v>541</v>
      </c>
      <c r="B238" s="232" t="s">
        <v>471</v>
      </c>
      <c r="C238" s="428" t="s">
        <v>470</v>
      </c>
      <c r="D238" s="429"/>
      <c r="E238" s="429"/>
      <c r="F238" s="429"/>
      <c r="G238" s="240">
        <f>IF(H238=Listas!$A$3,1,0)</f>
        <v>0</v>
      </c>
      <c r="H238" s="231" t="s">
        <v>365</v>
      </c>
      <c r="L238" s="2"/>
      <c r="M238" s="2"/>
    </row>
    <row r="239" spans="1:13" ht="43.5" customHeight="1" x14ac:dyDescent="0.25">
      <c r="A239" s="303" t="s">
        <v>541</v>
      </c>
      <c r="B239" s="229" t="s">
        <v>473</v>
      </c>
      <c r="C239" s="430" t="s">
        <v>472</v>
      </c>
      <c r="D239" s="431"/>
      <c r="E239" s="431"/>
      <c r="F239" s="431"/>
      <c r="G239" s="240">
        <f>IF(H239=Listas!$A$3,1,0)</f>
        <v>0</v>
      </c>
      <c r="H239" s="231" t="s">
        <v>365</v>
      </c>
      <c r="L239" s="2"/>
      <c r="M239" s="2"/>
    </row>
    <row r="240" spans="1:13" ht="28.5" customHeight="1" x14ac:dyDescent="0.25">
      <c r="A240" s="303" t="s">
        <v>541</v>
      </c>
      <c r="B240" s="232" t="s">
        <v>475</v>
      </c>
      <c r="C240" s="428" t="s">
        <v>474</v>
      </c>
      <c r="D240" s="429"/>
      <c r="E240" s="429"/>
      <c r="F240" s="429"/>
      <c r="G240" s="240">
        <f>IF(H240=Listas!$A$3,1,0)</f>
        <v>0</v>
      </c>
      <c r="H240" s="231" t="s">
        <v>365</v>
      </c>
      <c r="L240" s="2"/>
      <c r="M240" s="2"/>
    </row>
    <row r="241" spans="1:13" x14ac:dyDescent="0.25">
      <c r="A241" s="303" t="s">
        <v>541</v>
      </c>
      <c r="B241" s="229" t="s">
        <v>477</v>
      </c>
      <c r="C241" s="430" t="s">
        <v>476</v>
      </c>
      <c r="D241" s="431"/>
      <c r="E241" s="431"/>
      <c r="F241" s="431"/>
      <c r="G241" s="240">
        <f>IF(H241=Listas!$A$3,1,0)</f>
        <v>0</v>
      </c>
      <c r="H241" s="231" t="s">
        <v>365</v>
      </c>
      <c r="L241" s="2"/>
      <c r="M241" s="2"/>
    </row>
    <row r="242" spans="1:13" ht="28.5" customHeight="1" x14ac:dyDescent="0.25">
      <c r="A242" s="303" t="s">
        <v>541</v>
      </c>
      <c r="B242" s="232" t="s">
        <v>479</v>
      </c>
      <c r="C242" s="428" t="s">
        <v>478</v>
      </c>
      <c r="D242" s="429"/>
      <c r="E242" s="429"/>
      <c r="F242" s="429"/>
      <c r="G242" s="240">
        <f>IF(H242=Listas!$A$3,1,0)</f>
        <v>0</v>
      </c>
      <c r="H242" s="231" t="s">
        <v>365</v>
      </c>
      <c r="L242" s="2"/>
      <c r="M242" s="2"/>
    </row>
    <row r="243" spans="1:13" ht="28.5" customHeight="1" x14ac:dyDescent="0.25">
      <c r="A243" s="303" t="s">
        <v>541</v>
      </c>
      <c r="B243" s="229" t="s">
        <v>481</v>
      </c>
      <c r="C243" s="430" t="s">
        <v>480</v>
      </c>
      <c r="D243" s="431"/>
      <c r="E243" s="431"/>
      <c r="F243" s="431"/>
      <c r="G243" s="240">
        <f>IF(H243=Listas!$A$3,1,0)</f>
        <v>0</v>
      </c>
      <c r="H243" s="231" t="s">
        <v>365</v>
      </c>
      <c r="L243" s="2"/>
      <c r="M243" s="2"/>
    </row>
    <row r="244" spans="1:13" ht="28.5" customHeight="1" x14ac:dyDescent="0.25">
      <c r="A244" s="303" t="s">
        <v>541</v>
      </c>
      <c r="B244" s="232" t="s">
        <v>483</v>
      </c>
      <c r="C244" s="428" t="s">
        <v>482</v>
      </c>
      <c r="D244" s="429"/>
      <c r="E244" s="429"/>
      <c r="F244" s="429"/>
      <c r="G244" s="240">
        <f>IF(H244=Listas!$A$3,1,0)</f>
        <v>0</v>
      </c>
      <c r="H244" s="231" t="s">
        <v>365</v>
      </c>
      <c r="L244" s="2"/>
      <c r="M244" s="2"/>
    </row>
    <row r="245" spans="1:13" ht="28.5" customHeight="1" x14ac:dyDescent="0.25">
      <c r="A245" s="303" t="s">
        <v>541</v>
      </c>
      <c r="B245" s="229" t="s">
        <v>485</v>
      </c>
      <c r="C245" s="430" t="s">
        <v>484</v>
      </c>
      <c r="D245" s="431"/>
      <c r="E245" s="431"/>
      <c r="F245" s="431"/>
      <c r="G245" s="240">
        <f>IF(H245=Listas!$A$3,1,0)</f>
        <v>0</v>
      </c>
      <c r="H245" s="231" t="s">
        <v>365</v>
      </c>
      <c r="L245" s="2"/>
      <c r="M245" s="2"/>
    </row>
    <row r="246" spans="1:13" ht="28.5" customHeight="1" x14ac:dyDescent="0.25">
      <c r="A246" s="303" t="s">
        <v>541</v>
      </c>
      <c r="B246" s="232" t="s">
        <v>487</v>
      </c>
      <c r="C246" s="428" t="s">
        <v>486</v>
      </c>
      <c r="D246" s="429"/>
      <c r="E246" s="429"/>
      <c r="F246" s="429"/>
      <c r="G246" s="240">
        <f>IF(H246=Listas!$A$3,1,0)</f>
        <v>0</v>
      </c>
      <c r="H246" s="231" t="s">
        <v>365</v>
      </c>
      <c r="L246" s="2"/>
      <c r="M246" s="2"/>
    </row>
    <row r="247" spans="1:13" x14ac:dyDescent="0.25">
      <c r="A247" s="303" t="s">
        <v>541</v>
      </c>
      <c r="B247" s="229" t="s">
        <v>489</v>
      </c>
      <c r="C247" s="430" t="s">
        <v>488</v>
      </c>
      <c r="D247" s="431"/>
      <c r="E247" s="431"/>
      <c r="F247" s="431"/>
      <c r="G247" s="240">
        <f>IF(H247=Listas!$A$3,1,0)</f>
        <v>0</v>
      </c>
      <c r="H247" s="231" t="s">
        <v>365</v>
      </c>
      <c r="L247" s="2"/>
      <c r="M247" s="2"/>
    </row>
    <row r="248" spans="1:13" ht="28.5" customHeight="1" x14ac:dyDescent="0.25">
      <c r="A248" s="303" t="s">
        <v>541</v>
      </c>
      <c r="B248" s="232" t="s">
        <v>491</v>
      </c>
      <c r="C248" s="428" t="s">
        <v>490</v>
      </c>
      <c r="D248" s="429"/>
      <c r="E248" s="429"/>
      <c r="F248" s="429"/>
      <c r="G248" s="240">
        <f>IF(H248=Listas!$A$3,1,0)</f>
        <v>0</v>
      </c>
      <c r="H248" s="231" t="s">
        <v>365</v>
      </c>
      <c r="L248" s="2"/>
      <c r="M248" s="2"/>
    </row>
    <row r="249" spans="1:13" ht="28.5" customHeight="1" x14ac:dyDescent="0.25">
      <c r="A249" s="303" t="s">
        <v>541</v>
      </c>
      <c r="B249" s="229" t="s">
        <v>493</v>
      </c>
      <c r="C249" s="430" t="s">
        <v>492</v>
      </c>
      <c r="D249" s="431"/>
      <c r="E249" s="431"/>
      <c r="F249" s="431"/>
      <c r="G249" s="240">
        <f>IF(H249=Listas!$A$3,1,0)</f>
        <v>0</v>
      </c>
      <c r="H249" s="231" t="s">
        <v>365</v>
      </c>
      <c r="L249" s="2"/>
      <c r="M249" s="2"/>
    </row>
    <row r="250" spans="1:13" ht="28.5" customHeight="1" x14ac:dyDescent="0.25">
      <c r="A250" s="303" t="s">
        <v>541</v>
      </c>
      <c r="B250" s="232" t="s">
        <v>495</v>
      </c>
      <c r="C250" s="428" t="s">
        <v>494</v>
      </c>
      <c r="D250" s="429"/>
      <c r="E250" s="429"/>
      <c r="F250" s="429"/>
      <c r="G250" s="240">
        <f>IF(H250=Listas!$A$3,1,0)</f>
        <v>0</v>
      </c>
      <c r="H250" s="231" t="s">
        <v>365</v>
      </c>
      <c r="L250" s="2"/>
      <c r="M250" s="2"/>
    </row>
    <row r="251" spans="1:13" ht="28.5" customHeight="1" x14ac:dyDescent="0.25">
      <c r="A251" s="303" t="s">
        <v>541</v>
      </c>
      <c r="B251" s="229" t="s">
        <v>497</v>
      </c>
      <c r="C251" s="430" t="s">
        <v>496</v>
      </c>
      <c r="D251" s="431"/>
      <c r="E251" s="431"/>
      <c r="F251" s="431"/>
      <c r="G251" s="240">
        <f>IF(H251=Listas!$A$3,1,0)</f>
        <v>0</v>
      </c>
      <c r="H251" s="231" t="s">
        <v>365</v>
      </c>
      <c r="L251" s="2"/>
      <c r="M251" s="2"/>
    </row>
    <row r="252" spans="1:13" ht="28.5" customHeight="1" x14ac:dyDescent="0.25">
      <c r="A252" s="303" t="s">
        <v>541</v>
      </c>
      <c r="B252" s="232" t="s">
        <v>499</v>
      </c>
      <c r="C252" s="428" t="s">
        <v>498</v>
      </c>
      <c r="D252" s="429"/>
      <c r="E252" s="429"/>
      <c r="F252" s="429"/>
      <c r="G252" s="240">
        <f>IF(H252=Listas!$A$3,1,0)</f>
        <v>0</v>
      </c>
      <c r="H252" s="231" t="s">
        <v>365</v>
      </c>
      <c r="L252" s="2"/>
      <c r="M252" s="2"/>
    </row>
    <row r="253" spans="1:13" ht="28.5" customHeight="1" x14ac:dyDescent="0.25">
      <c r="A253" s="303" t="s">
        <v>541</v>
      </c>
      <c r="B253" s="229" t="s">
        <v>501</v>
      </c>
      <c r="C253" s="430" t="s">
        <v>500</v>
      </c>
      <c r="D253" s="431"/>
      <c r="E253" s="431"/>
      <c r="F253" s="431"/>
      <c r="G253" s="240">
        <f>IF(H253=Listas!$A$3,1,0)</f>
        <v>0</v>
      </c>
      <c r="H253" s="231" t="s">
        <v>365</v>
      </c>
      <c r="L253" s="2"/>
      <c r="M253" s="2"/>
    </row>
    <row r="254" spans="1:13" ht="28.5" customHeight="1" x14ac:dyDescent="0.25">
      <c r="A254" s="303" t="s">
        <v>541</v>
      </c>
      <c r="B254" s="232" t="s">
        <v>503</v>
      </c>
      <c r="C254" s="428" t="s">
        <v>502</v>
      </c>
      <c r="D254" s="429"/>
      <c r="E254" s="429"/>
      <c r="F254" s="429"/>
      <c r="G254" s="240">
        <f>IF(H254=Listas!$A$3,1,0)</f>
        <v>0</v>
      </c>
      <c r="H254" s="231" t="s">
        <v>365</v>
      </c>
      <c r="L254" s="2"/>
      <c r="M254" s="2"/>
    </row>
    <row r="255" spans="1:13" ht="28.5" customHeight="1" x14ac:dyDescent="0.25">
      <c r="A255" s="303" t="s">
        <v>541</v>
      </c>
      <c r="B255" s="229" t="s">
        <v>505</v>
      </c>
      <c r="C255" s="430" t="s">
        <v>504</v>
      </c>
      <c r="D255" s="431"/>
      <c r="E255" s="431"/>
      <c r="F255" s="431"/>
      <c r="G255" s="240">
        <f>IF(H255=Listas!$A$3,1,0)</f>
        <v>0</v>
      </c>
      <c r="H255" s="231" t="s">
        <v>365</v>
      </c>
      <c r="L255" s="2"/>
      <c r="M255" s="2"/>
    </row>
    <row r="256" spans="1:13" ht="28.5" customHeight="1" x14ac:dyDescent="0.25">
      <c r="A256" s="303" t="s">
        <v>541</v>
      </c>
      <c r="B256" s="232" t="s">
        <v>507</v>
      </c>
      <c r="C256" s="428" t="s">
        <v>506</v>
      </c>
      <c r="D256" s="429"/>
      <c r="E256" s="429"/>
      <c r="F256" s="429"/>
      <c r="G256" s="240">
        <f>IF(H256=Listas!$A$3,1,0)</f>
        <v>0</v>
      </c>
      <c r="H256" s="231" t="s">
        <v>365</v>
      </c>
      <c r="L256" s="2"/>
      <c r="M256" s="2"/>
    </row>
    <row r="257" spans="1:13" x14ac:dyDescent="0.25">
      <c r="A257" s="303" t="s">
        <v>541</v>
      </c>
      <c r="B257" s="229" t="s">
        <v>509</v>
      </c>
      <c r="C257" s="430" t="s">
        <v>508</v>
      </c>
      <c r="D257" s="431"/>
      <c r="E257" s="431"/>
      <c r="F257" s="431"/>
      <c r="G257" s="240">
        <f>IF(H257=Listas!$A$3,1,0)</f>
        <v>0</v>
      </c>
      <c r="H257" s="231" t="s">
        <v>365</v>
      </c>
      <c r="L257" s="2"/>
      <c r="M257" s="2"/>
    </row>
    <row r="258" spans="1:13" x14ac:dyDescent="0.25">
      <c r="A258" s="303" t="s">
        <v>541</v>
      </c>
      <c r="B258" s="232" t="s">
        <v>511</v>
      </c>
      <c r="C258" s="428" t="s">
        <v>510</v>
      </c>
      <c r="D258" s="429"/>
      <c r="E258" s="429"/>
      <c r="F258" s="429"/>
      <c r="G258" s="240">
        <f>IF(H258=Listas!$A$3,1,0)</f>
        <v>0</v>
      </c>
      <c r="H258" s="231" t="s">
        <v>365</v>
      </c>
      <c r="L258" s="2"/>
      <c r="M258" s="2"/>
    </row>
    <row r="259" spans="1:13" ht="28.5" customHeight="1" x14ac:dyDescent="0.25">
      <c r="A259" s="303" t="s">
        <v>541</v>
      </c>
      <c r="B259" s="229" t="s">
        <v>513</v>
      </c>
      <c r="C259" s="430" t="s">
        <v>512</v>
      </c>
      <c r="D259" s="431"/>
      <c r="E259" s="431"/>
      <c r="F259" s="431"/>
      <c r="G259" s="240">
        <f>IF(H259=Listas!$A$3,1,0)</f>
        <v>0</v>
      </c>
      <c r="H259" s="231" t="s">
        <v>365</v>
      </c>
      <c r="L259" s="2"/>
      <c r="M259" s="2"/>
    </row>
    <row r="260" spans="1:13" ht="28.5" customHeight="1" x14ac:dyDescent="0.25">
      <c r="A260" s="303" t="s">
        <v>541</v>
      </c>
      <c r="B260" s="232" t="s">
        <v>515</v>
      </c>
      <c r="C260" s="428" t="s">
        <v>514</v>
      </c>
      <c r="D260" s="429"/>
      <c r="E260" s="429"/>
      <c r="F260" s="429"/>
      <c r="G260" s="240">
        <f>IF(H260=Listas!$A$3,1,0)</f>
        <v>0</v>
      </c>
      <c r="H260" s="231" t="s">
        <v>365</v>
      </c>
      <c r="L260" s="2"/>
      <c r="M260" s="2"/>
    </row>
    <row r="261" spans="1:13" ht="28.5" customHeight="1" x14ac:dyDescent="0.25">
      <c r="A261" s="303" t="s">
        <v>541</v>
      </c>
      <c r="B261" s="229" t="s">
        <v>517</v>
      </c>
      <c r="C261" s="430" t="s">
        <v>516</v>
      </c>
      <c r="D261" s="431"/>
      <c r="E261" s="431"/>
      <c r="F261" s="431"/>
      <c r="G261" s="240">
        <f>IF(H261=Listas!$A$3,1,0)</f>
        <v>0</v>
      </c>
      <c r="H261" s="231" t="s">
        <v>365</v>
      </c>
      <c r="L261" s="2"/>
      <c r="M261" s="2"/>
    </row>
    <row r="262" spans="1:13" ht="28.5" customHeight="1" x14ac:dyDescent="0.25">
      <c r="A262" s="303" t="s">
        <v>541</v>
      </c>
      <c r="B262" s="232" t="s">
        <v>519</v>
      </c>
      <c r="C262" s="428" t="s">
        <v>518</v>
      </c>
      <c r="D262" s="429"/>
      <c r="E262" s="429"/>
      <c r="F262" s="429"/>
      <c r="G262" s="240">
        <f>IF(H262=Listas!$A$3,1,0)</f>
        <v>0</v>
      </c>
      <c r="H262" s="231" t="s">
        <v>365</v>
      </c>
      <c r="L262" s="2"/>
      <c r="M262" s="2"/>
    </row>
    <row r="263" spans="1:13" ht="28.5" customHeight="1" x14ac:dyDescent="0.25">
      <c r="A263" s="303" t="s">
        <v>541</v>
      </c>
      <c r="B263" s="229" t="s">
        <v>521</v>
      </c>
      <c r="C263" s="430" t="s">
        <v>520</v>
      </c>
      <c r="D263" s="431"/>
      <c r="E263" s="431"/>
      <c r="F263" s="431"/>
      <c r="G263" s="240">
        <f>IF(H263=Listas!$A$3,1,0)</f>
        <v>0</v>
      </c>
      <c r="H263" s="231" t="s">
        <v>365</v>
      </c>
      <c r="L263" s="2"/>
      <c r="M263" s="2"/>
    </row>
    <row r="264" spans="1:13" ht="28.5" customHeight="1" x14ac:dyDescent="0.25">
      <c r="A264" s="303" t="s">
        <v>541</v>
      </c>
      <c r="B264" s="232" t="s">
        <v>523</v>
      </c>
      <c r="C264" s="428" t="s">
        <v>522</v>
      </c>
      <c r="D264" s="429"/>
      <c r="E264" s="429"/>
      <c r="F264" s="429"/>
      <c r="G264" s="240">
        <f>IF(H264=Listas!$A$3,1,0)</f>
        <v>0</v>
      </c>
      <c r="H264" s="231" t="s">
        <v>365</v>
      </c>
      <c r="L264" s="2"/>
      <c r="M264" s="2"/>
    </row>
    <row r="265" spans="1:13" ht="28.5" customHeight="1" x14ac:dyDescent="0.25">
      <c r="A265" s="303" t="s">
        <v>541</v>
      </c>
      <c r="B265" s="229" t="s">
        <v>525</v>
      </c>
      <c r="C265" s="430" t="s">
        <v>524</v>
      </c>
      <c r="D265" s="431"/>
      <c r="E265" s="431"/>
      <c r="F265" s="431"/>
      <c r="G265" s="240">
        <f>IF(H265=Listas!$A$3,1,0)</f>
        <v>0</v>
      </c>
      <c r="H265" s="231" t="s">
        <v>365</v>
      </c>
      <c r="L265" s="2"/>
      <c r="M265" s="2"/>
    </row>
    <row r="266" spans="1:13" x14ac:dyDescent="0.25">
      <c r="A266" s="303" t="s">
        <v>541</v>
      </c>
      <c r="B266" s="232" t="s">
        <v>527</v>
      </c>
      <c r="C266" s="428" t="s">
        <v>526</v>
      </c>
      <c r="D266" s="429"/>
      <c r="E266" s="429"/>
      <c r="F266" s="429"/>
      <c r="G266" s="240">
        <f>IF(H266=Listas!$A$3,1,0)</f>
        <v>0</v>
      </c>
      <c r="H266" s="231" t="s">
        <v>365</v>
      </c>
      <c r="L266" s="2"/>
      <c r="M266" s="2"/>
    </row>
    <row r="267" spans="1:13" x14ac:dyDescent="0.25">
      <c r="A267" s="303" t="s">
        <v>541</v>
      </c>
      <c r="B267" s="229" t="s">
        <v>529</v>
      </c>
      <c r="C267" s="430" t="s">
        <v>528</v>
      </c>
      <c r="D267" s="431"/>
      <c r="E267" s="431"/>
      <c r="F267" s="431"/>
      <c r="G267" s="240">
        <f>IF(H267=Listas!$A$3,1,0)</f>
        <v>0</v>
      </c>
      <c r="H267" s="231" t="s">
        <v>365</v>
      </c>
      <c r="L267" s="2"/>
      <c r="M267" s="2"/>
    </row>
    <row r="268" spans="1:13" ht="28.5" customHeight="1" x14ac:dyDescent="0.25">
      <c r="A268" s="303" t="s">
        <v>541</v>
      </c>
      <c r="B268" s="232" t="s">
        <v>531</v>
      </c>
      <c r="C268" s="428" t="s">
        <v>530</v>
      </c>
      <c r="D268" s="429"/>
      <c r="E268" s="429"/>
      <c r="F268" s="429"/>
      <c r="G268" s="240">
        <f>IF(H268=Listas!$A$3,1,0)</f>
        <v>0</v>
      </c>
      <c r="H268" s="231" t="s">
        <v>365</v>
      </c>
      <c r="L268" s="2"/>
      <c r="M268" s="2"/>
    </row>
    <row r="269" spans="1:13" ht="28.5" customHeight="1" x14ac:dyDescent="0.25">
      <c r="A269" s="303" t="s">
        <v>541</v>
      </c>
      <c r="B269" s="229" t="s">
        <v>533</v>
      </c>
      <c r="C269" s="430" t="s">
        <v>532</v>
      </c>
      <c r="D269" s="431"/>
      <c r="E269" s="431"/>
      <c r="F269" s="431"/>
      <c r="G269" s="240">
        <f>IF(H269=Listas!$A$3,1,0)</f>
        <v>0</v>
      </c>
      <c r="H269" s="231" t="s">
        <v>365</v>
      </c>
      <c r="L269" s="2"/>
      <c r="M269" s="2"/>
    </row>
    <row r="270" spans="1:13" ht="28.5" customHeight="1" x14ac:dyDescent="0.25">
      <c r="A270" s="303" t="s">
        <v>541</v>
      </c>
      <c r="B270" s="232" t="s">
        <v>535</v>
      </c>
      <c r="C270" s="428" t="s">
        <v>534</v>
      </c>
      <c r="D270" s="429"/>
      <c r="E270" s="429"/>
      <c r="F270" s="429"/>
      <c r="G270" s="240">
        <f>IF(H270=Listas!$A$3,1,0)</f>
        <v>0</v>
      </c>
      <c r="H270" s="231" t="s">
        <v>365</v>
      </c>
      <c r="L270" s="2"/>
      <c r="M270" s="2"/>
    </row>
    <row r="271" spans="1:13" ht="42.75" customHeight="1" x14ac:dyDescent="0.25">
      <c r="A271" s="303" t="s">
        <v>541</v>
      </c>
      <c r="B271" s="229" t="s">
        <v>537</v>
      </c>
      <c r="C271" s="430" t="s">
        <v>536</v>
      </c>
      <c r="D271" s="431"/>
      <c r="E271" s="431"/>
      <c r="F271" s="431"/>
      <c r="G271" s="240">
        <f>IF(H271=Listas!$A$3,1,0)</f>
        <v>0</v>
      </c>
      <c r="H271" s="231" t="s">
        <v>365</v>
      </c>
      <c r="L271" s="2"/>
      <c r="M271" s="2"/>
    </row>
    <row r="272" spans="1:13" ht="43.5" customHeight="1" thickBot="1" x14ac:dyDescent="0.3">
      <c r="A272" s="303" t="s">
        <v>541</v>
      </c>
      <c r="B272" s="232" t="s">
        <v>539</v>
      </c>
      <c r="C272" s="428" t="s">
        <v>538</v>
      </c>
      <c r="D272" s="429"/>
      <c r="E272" s="429"/>
      <c r="F272" s="429"/>
      <c r="G272" s="241">
        <f>IF(H272=Listas!$A$3,1,0)</f>
        <v>0</v>
      </c>
      <c r="H272" s="234" t="s">
        <v>365</v>
      </c>
      <c r="L272" s="2"/>
      <c r="M272" s="2"/>
    </row>
    <row r="273" spans="1:13" x14ac:dyDescent="0.25">
      <c r="A273" s="284" t="s">
        <v>542</v>
      </c>
      <c r="G273" s="242"/>
      <c r="H273" s="242"/>
      <c r="I273" s="97"/>
      <c r="J273" s="242"/>
      <c r="K273" s="97"/>
      <c r="L273" s="27"/>
      <c r="M273" s="27"/>
    </row>
    <row r="274" spans="1:13" x14ac:dyDescent="0.25">
      <c r="A274" s="284" t="s">
        <v>542</v>
      </c>
      <c r="B274" s="344" t="s">
        <v>683</v>
      </c>
      <c r="G274" s="242"/>
      <c r="H274" s="242"/>
      <c r="I274" s="97"/>
      <c r="J274" s="242"/>
      <c r="K274" s="97"/>
      <c r="L274" s="27"/>
      <c r="M274" s="27"/>
    </row>
    <row r="275" spans="1:13" ht="15" customHeight="1" x14ac:dyDescent="0.25">
      <c r="A275" s="284" t="s">
        <v>542</v>
      </c>
      <c r="B275" s="420" t="s">
        <v>860</v>
      </c>
      <c r="C275" s="420"/>
      <c r="D275" s="420"/>
      <c r="E275" s="420"/>
      <c r="F275" s="420"/>
      <c r="G275" s="420"/>
      <c r="H275" s="420"/>
      <c r="I275" s="97"/>
      <c r="J275" s="242"/>
      <c r="K275" s="97"/>
      <c r="L275" s="27"/>
      <c r="M275" s="27"/>
    </row>
    <row r="276" spans="1:13" ht="29.25" customHeight="1" x14ac:dyDescent="0.25">
      <c r="A276" s="284" t="s">
        <v>542</v>
      </c>
      <c r="B276" s="420" t="s">
        <v>861</v>
      </c>
      <c r="C276" s="420"/>
      <c r="D276" s="420"/>
      <c r="E276" s="420"/>
      <c r="F276" s="420"/>
      <c r="G276" s="420"/>
      <c r="H276" s="420"/>
      <c r="L276" s="27"/>
      <c r="M276" s="27"/>
    </row>
    <row r="277" spans="1:13" ht="41.25" customHeight="1" x14ac:dyDescent="0.25">
      <c r="A277" s="284" t="s">
        <v>542</v>
      </c>
      <c r="B277" s="420" t="s">
        <v>862</v>
      </c>
      <c r="C277" s="420"/>
      <c r="D277" s="420"/>
      <c r="E277" s="420"/>
      <c r="F277" s="420"/>
      <c r="G277" s="420"/>
      <c r="H277" s="420"/>
      <c r="L277" s="27"/>
      <c r="M277" s="27"/>
    </row>
    <row r="278" spans="1:13" ht="18.75" customHeight="1" thickBot="1" x14ac:dyDescent="0.3">
      <c r="A278" s="284"/>
      <c r="B278" s="421" t="s">
        <v>784</v>
      </c>
      <c r="C278" s="421"/>
      <c r="D278" s="345">
        <f>J10</f>
        <v>0</v>
      </c>
      <c r="L278" s="27"/>
      <c r="M278" s="27"/>
    </row>
    <row r="279" spans="1:13" x14ac:dyDescent="0.25">
      <c r="A279" s="284" t="s">
        <v>542</v>
      </c>
      <c r="B279" s="61"/>
      <c r="C279" s="62"/>
      <c r="D279" s="98"/>
      <c r="E279" s="245"/>
      <c r="F279" s="36"/>
      <c r="L279" s="27"/>
      <c r="M279" s="27"/>
    </row>
    <row r="280" spans="1:13" s="128" customFormat="1" x14ac:dyDescent="0.25">
      <c r="A280" s="304" t="s">
        <v>542</v>
      </c>
      <c r="B280" s="63" t="s">
        <v>377</v>
      </c>
      <c r="C280" s="64" t="str">
        <f>IF(C4&lt;&gt;0,C4,"")</f>
        <v/>
      </c>
      <c r="D280" s="99" t="str">
        <f>IF(C5&lt;&gt;0,C5,"")</f>
        <v/>
      </c>
      <c r="E280" s="246"/>
      <c r="F280" s="247"/>
      <c r="G280" s="248"/>
      <c r="H280" s="249"/>
      <c r="L280" s="250"/>
      <c r="M280" s="250"/>
    </row>
    <row r="281" spans="1:13" s="128" customFormat="1" x14ac:dyDescent="0.25">
      <c r="A281" s="304" t="s">
        <v>542</v>
      </c>
      <c r="B281" s="63" t="s">
        <v>378</v>
      </c>
      <c r="C281" s="68" t="str">
        <f>IF(F3&lt;&gt;0,F3,IF(C3&lt;&gt;0,C3,""))</f>
        <v/>
      </c>
      <c r="D281" s="102"/>
      <c r="E281" s="246"/>
      <c r="F281" s="247"/>
      <c r="G281" s="248"/>
      <c r="H281" s="249"/>
      <c r="L281" s="250"/>
      <c r="M281" s="250"/>
    </row>
    <row r="282" spans="1:13" x14ac:dyDescent="0.25">
      <c r="A282" s="284" t="s">
        <v>542</v>
      </c>
      <c r="B282" s="69"/>
      <c r="C282" s="70"/>
      <c r="D282" s="103"/>
      <c r="E282" s="251"/>
      <c r="F282" s="36"/>
      <c r="L282" s="27"/>
      <c r="M282" s="27"/>
    </row>
    <row r="283" spans="1:13" x14ac:dyDescent="0.25">
      <c r="A283" s="284" t="s">
        <v>542</v>
      </c>
      <c r="B283" s="69"/>
      <c r="C283" s="70"/>
      <c r="D283" s="103"/>
      <c r="E283" s="251"/>
      <c r="F283" s="36"/>
      <c r="L283" s="27"/>
      <c r="M283" s="27"/>
    </row>
    <row r="284" spans="1:13" x14ac:dyDescent="0.25">
      <c r="A284" s="284" t="s">
        <v>542</v>
      </c>
      <c r="B284" s="69"/>
      <c r="C284" s="70"/>
      <c r="D284" s="103"/>
      <c r="E284" s="251"/>
      <c r="F284" s="36"/>
      <c r="L284" s="27"/>
      <c r="M284" s="27"/>
    </row>
    <row r="285" spans="1:13" ht="15.75" thickBot="1" x14ac:dyDescent="0.3">
      <c r="A285" s="284" t="s">
        <v>542</v>
      </c>
      <c r="B285" s="104"/>
      <c r="C285" s="105"/>
      <c r="D285" s="106"/>
      <c r="E285" s="252"/>
      <c r="F285" s="36"/>
      <c r="L285" s="27"/>
      <c r="M285" s="27"/>
    </row>
    <row r="286" spans="1:13" x14ac:dyDescent="0.25">
      <c r="L286" s="1"/>
      <c r="M286" s="1"/>
    </row>
  </sheetData>
  <sheetProtection algorithmName="SHA-512" hashValue="QqIK+piXL9KJksnPaPGpr2+2XFpTaNIQvPZAGRv6dVa+AUC0j7De4Xvu7ZIKKGPzs+wD6ANZn0bhZuGTR4LRJA==" saltValue="RmMdyPqM0QUGnChoEloQoA==" spinCount="100000" sheet="1" selectLockedCells="1" autoFilter="0"/>
  <autoFilter ref="A12:K285">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autoFilter>
  <mergeCells count="156">
    <mergeCell ref="L1:M1"/>
    <mergeCell ref="B1:D1"/>
    <mergeCell ref="F1:K1"/>
    <mergeCell ref="E4:F4"/>
    <mergeCell ref="B15:K15"/>
    <mergeCell ref="B24:K24"/>
    <mergeCell ref="B17:K17"/>
    <mergeCell ref="B34:K34"/>
    <mergeCell ref="B35:K35"/>
    <mergeCell ref="F3:K3"/>
    <mergeCell ref="C2:K2"/>
    <mergeCell ref="C3:D3"/>
    <mergeCell ref="B113:D113"/>
    <mergeCell ref="B118:D118"/>
    <mergeCell ref="H5:K5"/>
    <mergeCell ref="H9:K9"/>
    <mergeCell ref="H8:K8"/>
    <mergeCell ref="C8:F8"/>
    <mergeCell ref="C4:D4"/>
    <mergeCell ref="B12:K12"/>
    <mergeCell ref="H7:K7"/>
    <mergeCell ref="H6:K6"/>
    <mergeCell ref="B63:K63"/>
    <mergeCell ref="B50:K50"/>
    <mergeCell ref="J10:K11"/>
    <mergeCell ref="H10:H11"/>
    <mergeCell ref="C197:F197"/>
    <mergeCell ref="C198:F198"/>
    <mergeCell ref="C199:F199"/>
    <mergeCell ref="C200:F200"/>
    <mergeCell ref="C192:E192"/>
    <mergeCell ref="C193:F193"/>
    <mergeCell ref="C194:F194"/>
    <mergeCell ref="C195:F195"/>
    <mergeCell ref="C206:F206"/>
    <mergeCell ref="C196:F196"/>
    <mergeCell ref="C207:F207"/>
    <mergeCell ref="C208:F208"/>
    <mergeCell ref="C209:F209"/>
    <mergeCell ref="C210:F210"/>
    <mergeCell ref="C201:F201"/>
    <mergeCell ref="C202:F202"/>
    <mergeCell ref="C203:F203"/>
    <mergeCell ref="C204:F204"/>
    <mergeCell ref="C205:F205"/>
    <mergeCell ref="C216:F216"/>
    <mergeCell ref="C217:F217"/>
    <mergeCell ref="C218:F218"/>
    <mergeCell ref="C219:F219"/>
    <mergeCell ref="C220:F220"/>
    <mergeCell ref="C211:F211"/>
    <mergeCell ref="C212:F212"/>
    <mergeCell ref="C213:F213"/>
    <mergeCell ref="C214:F214"/>
    <mergeCell ref="C215:F215"/>
    <mergeCell ref="C226:F226"/>
    <mergeCell ref="C227:F227"/>
    <mergeCell ref="C228:F228"/>
    <mergeCell ref="C229:F229"/>
    <mergeCell ref="C230:F230"/>
    <mergeCell ref="C221:F221"/>
    <mergeCell ref="C222:F222"/>
    <mergeCell ref="C223:F223"/>
    <mergeCell ref="C224:F224"/>
    <mergeCell ref="C225:F225"/>
    <mergeCell ref="C236:F236"/>
    <mergeCell ref="C237:F237"/>
    <mergeCell ref="C238:F238"/>
    <mergeCell ref="C239:F239"/>
    <mergeCell ref="C240:F240"/>
    <mergeCell ref="C231:F231"/>
    <mergeCell ref="C232:F232"/>
    <mergeCell ref="C233:F233"/>
    <mergeCell ref="C234:F234"/>
    <mergeCell ref="C235:F235"/>
    <mergeCell ref="C247:F247"/>
    <mergeCell ref="C248:F248"/>
    <mergeCell ref="C249:F249"/>
    <mergeCell ref="C250:F250"/>
    <mergeCell ref="C241:F241"/>
    <mergeCell ref="C242:F242"/>
    <mergeCell ref="C243:F243"/>
    <mergeCell ref="C244:F244"/>
    <mergeCell ref="C245:F245"/>
    <mergeCell ref="C271:F271"/>
    <mergeCell ref="C272:F272"/>
    <mergeCell ref="B189:K189"/>
    <mergeCell ref="C266:F266"/>
    <mergeCell ref="C267:F267"/>
    <mergeCell ref="C268:F268"/>
    <mergeCell ref="C269:F269"/>
    <mergeCell ref="C270:F270"/>
    <mergeCell ref="C261:F261"/>
    <mergeCell ref="C262:F262"/>
    <mergeCell ref="C263:F263"/>
    <mergeCell ref="C264:F264"/>
    <mergeCell ref="C265:F265"/>
    <mergeCell ref="C256:F256"/>
    <mergeCell ref="C257:F257"/>
    <mergeCell ref="C258:F258"/>
    <mergeCell ref="C259:F259"/>
    <mergeCell ref="C260:F260"/>
    <mergeCell ref="C251:F251"/>
    <mergeCell ref="C252:F252"/>
    <mergeCell ref="C253:F253"/>
    <mergeCell ref="C254:F254"/>
    <mergeCell ref="C255:F255"/>
    <mergeCell ref="C246:F246"/>
    <mergeCell ref="C187:F187"/>
    <mergeCell ref="C188:F188"/>
    <mergeCell ref="B25:K25"/>
    <mergeCell ref="B16:D16"/>
    <mergeCell ref="B23:D23"/>
    <mergeCell ref="B33:D33"/>
    <mergeCell ref="C164:F164"/>
    <mergeCell ref="C165:F165"/>
    <mergeCell ref="C166:F166"/>
    <mergeCell ref="C167:F167"/>
    <mergeCell ref="C168:F168"/>
    <mergeCell ref="C169:F169"/>
    <mergeCell ref="C170:F170"/>
    <mergeCell ref="C184:F184"/>
    <mergeCell ref="C174:F174"/>
    <mergeCell ref="C175:F175"/>
    <mergeCell ref="C176:F176"/>
    <mergeCell ref="C181:F181"/>
    <mergeCell ref="C182:F182"/>
    <mergeCell ref="C183:F183"/>
    <mergeCell ref="B162:K162"/>
    <mergeCell ref="C178:F178"/>
    <mergeCell ref="C185:F185"/>
    <mergeCell ref="C177:F177"/>
    <mergeCell ref="B275:H275"/>
    <mergeCell ref="B276:H276"/>
    <mergeCell ref="B277:H277"/>
    <mergeCell ref="B278:C278"/>
    <mergeCell ref="D5:E5"/>
    <mergeCell ref="D7:F7"/>
    <mergeCell ref="B191:K191"/>
    <mergeCell ref="B123:E123"/>
    <mergeCell ref="B127:E127"/>
    <mergeCell ref="B131:E131"/>
    <mergeCell ref="B135:E135"/>
    <mergeCell ref="B139:E139"/>
    <mergeCell ref="B143:E143"/>
    <mergeCell ref="C179:F179"/>
    <mergeCell ref="C180:F180"/>
    <mergeCell ref="B160:K160"/>
    <mergeCell ref="C163:E163"/>
    <mergeCell ref="B119:E119"/>
    <mergeCell ref="B114:K114"/>
    <mergeCell ref="B134:D134"/>
    <mergeCell ref="C171:F171"/>
    <mergeCell ref="C172:F172"/>
    <mergeCell ref="C173:F173"/>
    <mergeCell ref="C186:F186"/>
  </mergeCells>
  <dataValidations count="8">
    <dataValidation type="decimal" allowBlank="1" showInputMessage="1" showErrorMessage="1" sqref="H139">
      <formula1>0</formula1>
      <formula2>10</formula2>
    </dataValidation>
    <dataValidation type="decimal" allowBlank="1" showInputMessage="1" showErrorMessage="1" sqref="H135">
      <formula1>0</formula1>
      <formula2>2</formula2>
    </dataValidation>
    <dataValidation type="decimal" allowBlank="1" showInputMessage="1" showErrorMessage="1" sqref="H143 H131 H119 H113">
      <formula1>0</formula1>
      <formula2>500</formula2>
    </dataValidation>
    <dataValidation type="decimal" allowBlank="1" showInputMessage="1" showErrorMessage="1" sqref="H127">
      <formula1>-100</formula1>
      <formula2>500</formula2>
    </dataValidation>
    <dataValidation type="decimal" allowBlank="1" showInputMessage="1" showErrorMessage="1" sqref="H123">
      <formula1>0</formula1>
      <formula2>100</formula2>
    </dataValidation>
    <dataValidation type="list" allowBlank="1" showInputMessage="1" showErrorMessage="1" sqref="L8:M8">
      <formula1>$A$36:$A$40</formula1>
    </dataValidation>
    <dataValidation type="decimal" allowBlank="1" showInputMessage="1" showErrorMessage="1" sqref="H19:H22">
      <formula1>0</formula1>
      <formula2>H18</formula2>
    </dataValidation>
    <dataValidation type="decimal" allowBlank="1" showInputMessage="1" showErrorMessage="1" sqref="H18">
      <formula1>0</formula1>
      <formula2>250</formula2>
    </dataValidation>
  </dataValidations>
  <pageMargins left="0.35433070866141736" right="0.15748031496062992" top="1.1417322834645669" bottom="0.78740157480314965" header="0.31496062992125984" footer="0.31496062992125984"/>
  <pageSetup paperSize="9" scale="68" fitToHeight="0" orientation="portrait" r:id="rId1"/>
  <headerFooter scaleWithDoc="0">
    <oddHeader>&amp;L&amp;G</oddHeader>
    <oddFooter>&amp;L&amp;"Eras Demi ITC,Normal"&amp;8&amp;G&amp;R&amp;8&amp;P/&amp;N</oddFooter>
  </headerFooter>
  <drawing r:id="rId2"/>
  <legacyDrawingHF r:id="rId3"/>
  <extLst>
    <ext xmlns:x14="http://schemas.microsoft.com/office/spreadsheetml/2009/9/main" uri="{CCE6A557-97BC-4b89-ADB6-D9C93CAAB3DF}">
      <x14:dataValidations xmlns:xm="http://schemas.microsoft.com/office/excel/2006/main" count="8">
        <x14:dataValidation type="list" allowBlank="1" showInputMessage="1" showErrorMessage="1">
          <x14:formula1>
            <xm:f>Listas!$A$2:$A$3</xm:f>
          </x14:formula1>
          <xm:sqref>H51:H61 H164:H188 C10 H64:H75 H104:H111 H99:H102 H77:H85 H193:H272</xm:sqref>
        </x14:dataValidation>
        <x14:dataValidation type="list" allowBlank="1" showInputMessage="1" showErrorMessage="1">
          <x14:formula1>
            <xm:f>Listas!$A$5:$A$6</xm:f>
          </x14:formula1>
          <xm:sqref>H87:H89 H46:H48</xm:sqref>
        </x14:dataValidation>
        <x14:dataValidation type="list" allowBlank="1" showInputMessage="1" showErrorMessage="1">
          <x14:formula1>
            <xm:f>Listas!$A$11:$A$21</xm:f>
          </x14:formula1>
          <xm:sqref>C4:D4</xm:sqref>
        </x14:dataValidation>
        <x14:dataValidation type="list" allowBlank="1" showInputMessage="1" showErrorMessage="1">
          <x14:formula1>
            <xm:f>Listas!$A$23:$A$26</xm:f>
          </x14:formula1>
          <xm:sqref>C7</xm:sqref>
        </x14:dataValidation>
        <x14:dataValidation type="list" allowBlank="1" showInputMessage="1" showErrorMessage="1">
          <x14:formula1>
            <xm:f>Listas!$A$8:$A$9</xm:f>
          </x14:formula1>
          <xm:sqref>C9</xm:sqref>
        </x14:dataValidation>
        <x14:dataValidation type="list" allowBlank="1" showInputMessage="1" showErrorMessage="1">
          <x14:formula1>
            <xm:f>Listas!$A$52:$A$56</xm:f>
          </x14:formula1>
          <xm:sqref>C8:E8</xm:sqref>
        </x14:dataValidation>
        <x14:dataValidation type="textLength" allowBlank="1" showInputMessage="1" showErrorMessage="1">
          <x14:formula1>
            <xm:f>Listas!A58</xm:f>
          </x14:formula1>
          <x14:formula2>
            <xm:f>Listas!A59</xm:f>
          </x14:formula2>
          <xm:sqref>C2:K2</xm:sqref>
        </x14:dataValidation>
        <x14:dataValidation type="date" allowBlank="1" showInputMessage="1" showErrorMessage="1">
          <x14:formula1>
            <xm:f>Listas!A61</xm:f>
          </x14:formula1>
          <x14:formula2>
            <xm:f>Listas!A62</xm:f>
          </x14:formula2>
          <xm:sqref>C5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tabColor rgb="FF7030A0"/>
    <pageSetUpPr fitToPage="1"/>
  </sheetPr>
  <dimension ref="A1:R105"/>
  <sheetViews>
    <sheetView zoomScaleNormal="100" zoomScaleSheetLayoutView="110" workbookViewId="0">
      <selection activeCell="E9" sqref="E9"/>
    </sheetView>
  </sheetViews>
  <sheetFormatPr baseColWidth="10" defaultColWidth="11.42578125" defaultRowHeight="15" x14ac:dyDescent="0.25"/>
  <cols>
    <col min="1" max="1" width="7.5703125" customWidth="1"/>
    <col min="2" max="2" width="8" customWidth="1"/>
    <col min="3" max="3" width="31.85546875" customWidth="1"/>
    <col min="4" max="4" width="28.140625" customWidth="1"/>
    <col min="5" max="6" width="15" customWidth="1"/>
    <col min="7" max="7" width="8.5703125" customWidth="1"/>
    <col min="8" max="8" width="13.42578125" customWidth="1"/>
    <col min="9" max="9" width="8.5703125" customWidth="1"/>
    <col min="10" max="10" width="14.42578125" customWidth="1"/>
    <col min="11" max="11" width="7.42578125" bestFit="1" customWidth="1"/>
    <col min="12" max="12" width="15" customWidth="1"/>
    <col min="13" max="13" width="8.5703125" customWidth="1"/>
    <col min="14" max="14" width="15" customWidth="1"/>
    <col min="15" max="15" width="8.5703125" customWidth="1"/>
    <col min="16" max="16" width="15" customWidth="1"/>
    <col min="17" max="17" width="8.5703125" customWidth="1"/>
  </cols>
  <sheetData>
    <row r="1" spans="1:18" ht="24.75" customHeight="1" thickTop="1" thickBot="1" x14ac:dyDescent="0.4">
      <c r="A1" s="281"/>
      <c r="B1" s="447" t="s">
        <v>888</v>
      </c>
      <c r="C1" s="448"/>
      <c r="D1" s="448"/>
      <c r="E1" s="448"/>
      <c r="F1" s="448"/>
      <c r="G1" s="448"/>
      <c r="H1" s="448"/>
      <c r="I1" s="448"/>
      <c r="J1" s="448"/>
      <c r="K1" s="472"/>
      <c r="L1" s="264"/>
      <c r="M1" s="469" t="str">
        <f>AutoBaremo!L1</f>
        <v xml:space="preserve">  GDR-JA-07 V.1.2 Diciembre 2017</v>
      </c>
      <c r="N1" s="470"/>
      <c r="O1" s="470"/>
      <c r="P1" s="471"/>
      <c r="Q1" s="264"/>
      <c r="R1" s="27"/>
    </row>
    <row r="2" spans="1:18" ht="16.5" thickTop="1" thickBot="1" x14ac:dyDescent="0.3">
      <c r="A2" s="281"/>
      <c r="B2" s="263" t="str">
        <f>AutoBaremo!B2</f>
        <v>Proyecto:</v>
      </c>
      <c r="C2" s="466" t="str">
        <f>IF(AutoBaremo!C2:K2=0,"",AutoBaremo!C2:K2)</f>
        <v/>
      </c>
      <c r="D2" s="466"/>
      <c r="E2" s="466"/>
      <c r="F2" s="466"/>
      <c r="G2" s="466"/>
      <c r="H2" s="466"/>
      <c r="I2" s="265"/>
      <c r="J2" s="265"/>
      <c r="K2" s="265"/>
      <c r="L2" s="265"/>
      <c r="M2" s="265"/>
      <c r="N2" s="265"/>
      <c r="O2" s="265"/>
      <c r="P2" s="265"/>
      <c r="Q2" s="265"/>
      <c r="R2" s="27"/>
    </row>
    <row r="3" spans="1:18" ht="15.75" customHeight="1" thickTop="1" thickBot="1" x14ac:dyDescent="0.3">
      <c r="A3" s="281"/>
      <c r="B3" s="263" t="str">
        <f>AutoBaremo!B3</f>
        <v>Solicitante:</v>
      </c>
      <c r="C3" s="466" t="str">
        <f>IF(AutoBaremo!C3:K3=0,"",AutoBaremo!C3:K3)</f>
        <v/>
      </c>
      <c r="D3" s="466"/>
      <c r="E3" s="466"/>
      <c r="F3" s="466"/>
      <c r="G3" s="466"/>
      <c r="H3" s="466"/>
      <c r="I3" s="330" t="str">
        <f>IF(AutoBaremo!G10=1,Listas!A44,Listas!A43)</f>
        <v>Empresa Existente (Balances reales y previstos)</v>
      </c>
      <c r="J3" s="327"/>
      <c r="K3" s="327"/>
      <c r="L3" s="327"/>
      <c r="M3" s="327" t="str">
        <f>IF(AutoBaremo!K10="1",Listas!E44,"")</f>
        <v/>
      </c>
      <c r="N3" s="327"/>
      <c r="O3" s="327" t="str">
        <f>IF(AutoBaremo!M10="1",Listas!G44,"")</f>
        <v/>
      </c>
      <c r="P3" s="327"/>
      <c r="Q3" s="327" t="str">
        <f>IF(AutoBaremo!M10="1",Listas!G44,"")</f>
        <v/>
      </c>
      <c r="R3" s="27"/>
    </row>
    <row r="4" spans="1:18" ht="16.5" thickTop="1" thickBot="1" x14ac:dyDescent="0.3">
      <c r="A4" s="281"/>
      <c r="B4" s="263" t="str">
        <f>AutoBaremo!B4</f>
        <v>Municipio:</v>
      </c>
      <c r="C4" s="466" t="str">
        <f>IF(AutoBaremo!C4:K4=0,"",AutoBaremo!C4:K4)</f>
        <v/>
      </c>
      <c r="D4" s="466"/>
      <c r="E4" s="29" t="str">
        <f>IF(E27-E49&lt;&gt;0,E27-E49,"")</f>
        <v/>
      </c>
      <c r="F4" s="29" t="str">
        <f>IF(F27-F49&lt;&gt;0,F27-F49,"")</f>
        <v/>
      </c>
      <c r="G4" s="260"/>
      <c r="H4" s="29" t="str">
        <f>IF(H27-H49&lt;&gt;0,H27-H49,"")</f>
        <v/>
      </c>
      <c r="I4" s="260"/>
      <c r="J4" s="29" t="str">
        <f>IF(J27-J49&lt;&gt;0,J27-J49,"")</f>
        <v/>
      </c>
      <c r="K4" s="260"/>
      <c r="L4" s="29" t="str">
        <f>IF(L27-L49&lt;&gt;0,L27-L49,"")</f>
        <v/>
      </c>
      <c r="M4" s="260"/>
      <c r="N4" s="29" t="str">
        <f>IF(N27-N49&lt;&gt;0,N27-N49,"")</f>
        <v/>
      </c>
      <c r="O4" s="260"/>
      <c r="P4" s="29" t="str">
        <f>IF(P27-P49&lt;&gt;0,P27-P49,"")</f>
        <v/>
      </c>
      <c r="Q4" s="260"/>
      <c r="R4" s="27"/>
    </row>
    <row r="5" spans="1:18" ht="16.5" thickTop="1" thickBot="1" x14ac:dyDescent="0.3">
      <c r="A5" s="281"/>
      <c r="B5" s="263" t="str">
        <f>AutoBaremo!B5</f>
        <v>Fecha</v>
      </c>
      <c r="C5" s="32" t="str">
        <f>IF(AutoBaremo!C5:K5=0,"",AutoBaremo!C5:K5)</f>
        <v/>
      </c>
      <c r="D5" s="326"/>
      <c r="E5" s="261" t="str">
        <f>IF(E27&lt;&gt;E49,Listas!$A$39,"")</f>
        <v/>
      </c>
      <c r="F5" s="338" t="str">
        <f>IF(F27&lt;&gt;F49,Listas!$A$39,"")</f>
        <v/>
      </c>
      <c r="G5" s="338"/>
      <c r="H5" s="338" t="str">
        <f>IF(H27&lt;&gt;H49,Listas!$A$39,"")</f>
        <v/>
      </c>
      <c r="I5" s="133"/>
      <c r="J5" s="338" t="str">
        <f>IF(J27&lt;&gt;J49,Listas!$A$39,"")</f>
        <v/>
      </c>
      <c r="K5" s="133"/>
      <c r="L5" s="338" t="str">
        <f>IF(L27&lt;&gt;L49,Listas!$A$39,"")</f>
        <v/>
      </c>
      <c r="M5" s="133"/>
      <c r="N5" s="338" t="str">
        <f>IF(N27&lt;&gt;N49,Listas!$A$39,"")</f>
        <v/>
      </c>
      <c r="O5" s="133"/>
      <c r="P5" s="338" t="str">
        <f>IF(P27&lt;&gt;P49,Listas!$A$39,"")</f>
        <v/>
      </c>
      <c r="Q5" s="133"/>
      <c r="R5" s="27"/>
    </row>
    <row r="6" spans="1:18" ht="12" customHeight="1" thickTop="1" thickBot="1" x14ac:dyDescent="0.3">
      <c r="A6" s="281"/>
      <c r="B6" s="331"/>
      <c r="C6" s="332"/>
      <c r="D6" s="333"/>
      <c r="E6" s="33"/>
      <c r="F6" s="336" t="str">
        <f>IF(F27=E27,Listas!$A$41,"")</f>
        <v>Revise datos ejercicio</v>
      </c>
      <c r="G6" s="336"/>
      <c r="H6" s="336" t="str">
        <f>IF(H27=F27,Listas!$A$41,"")</f>
        <v>Revise datos ejercicio</v>
      </c>
      <c r="I6" s="334"/>
      <c r="J6" s="337"/>
      <c r="K6" s="334"/>
      <c r="L6" s="336" t="str">
        <f>IF(L27=J27,Listas!$A$42,"")</f>
        <v>Revise datos previstos</v>
      </c>
      <c r="M6" s="334"/>
      <c r="N6" s="336" t="str">
        <f>IF(N27=L27,Listas!$A$42,"")</f>
        <v>Revise datos previstos</v>
      </c>
      <c r="O6" s="334"/>
      <c r="P6" s="336" t="str">
        <f>IF(P27=N27,Listas!$A$42,"")</f>
        <v>Revise datos previstos</v>
      </c>
      <c r="Q6" s="335"/>
      <c r="R6" s="27"/>
    </row>
    <row r="7" spans="1:18" ht="9" customHeight="1" thickTop="1" x14ac:dyDescent="0.25">
      <c r="A7" s="272" t="s">
        <v>555</v>
      </c>
      <c r="B7" s="35"/>
      <c r="C7" s="35"/>
      <c r="D7" s="35"/>
      <c r="E7" s="35"/>
      <c r="F7" s="35"/>
      <c r="G7" s="35"/>
      <c r="H7" s="35"/>
      <c r="I7" s="35"/>
      <c r="J7" s="35"/>
      <c r="K7" s="35"/>
      <c r="L7" s="35"/>
      <c r="M7" s="35"/>
      <c r="N7" s="35"/>
      <c r="O7" s="35"/>
      <c r="P7" s="35"/>
      <c r="Q7" s="35"/>
      <c r="R7" s="27"/>
    </row>
    <row r="8" spans="1:18" x14ac:dyDescent="0.25">
      <c r="A8" s="274" t="s">
        <v>676</v>
      </c>
      <c r="B8" s="328"/>
      <c r="C8" s="328"/>
      <c r="D8" s="328"/>
      <c r="E8" s="463" t="str">
        <f>IF(AutoBaremo!G10=1,Listas!A48,Listas!A49)</f>
        <v>BALANCES Y CUENTAS DE RESULTADOS "REALES"</v>
      </c>
      <c r="F8" s="463"/>
      <c r="G8" s="463"/>
      <c r="H8" s="463"/>
      <c r="I8" s="463"/>
      <c r="J8" s="463"/>
      <c r="K8" s="463"/>
      <c r="L8" s="464" t="str">
        <f>IF(AutoBaremo!G10=2,Listas!A48,Listas!A50)</f>
        <v>BALANCES Y CUENTAS DE RESULTADOS "PREVISIONES"</v>
      </c>
      <c r="M8" s="464"/>
      <c r="N8" s="464"/>
      <c r="O8" s="464"/>
      <c r="P8" s="464"/>
      <c r="Q8" s="464"/>
      <c r="R8" s="27"/>
    </row>
    <row r="9" spans="1:18" ht="16.5" thickBot="1" x14ac:dyDescent="0.3">
      <c r="A9" s="274" t="s">
        <v>676</v>
      </c>
      <c r="B9" s="109" t="s">
        <v>619</v>
      </c>
      <c r="C9" s="109"/>
      <c r="D9" s="109"/>
      <c r="E9" s="110">
        <f>F9-1</f>
        <v>2015</v>
      </c>
      <c r="F9" s="474">
        <f>H9-1</f>
        <v>2016</v>
      </c>
      <c r="G9" s="474"/>
      <c r="H9" s="474">
        <f>IF(AutoBaremo!G10=1,2017+3,2017)</f>
        <v>2017</v>
      </c>
      <c r="I9" s="474"/>
      <c r="J9" s="124" t="s">
        <v>763</v>
      </c>
      <c r="K9" s="125" t="s">
        <v>687</v>
      </c>
      <c r="L9" s="465">
        <f>H9+1</f>
        <v>2018</v>
      </c>
      <c r="M9" s="465"/>
      <c r="N9" s="465">
        <f>L9+1</f>
        <v>2019</v>
      </c>
      <c r="O9" s="465"/>
      <c r="P9" s="329">
        <f>N9+1</f>
        <v>2020</v>
      </c>
      <c r="Q9" s="329"/>
      <c r="R9" s="27"/>
    </row>
    <row r="10" spans="1:18" ht="15.75" thickBot="1" x14ac:dyDescent="0.3">
      <c r="A10" s="275" t="s">
        <v>719</v>
      </c>
      <c r="B10" s="427" t="s">
        <v>620</v>
      </c>
      <c r="C10" s="427"/>
      <c r="D10" s="427"/>
      <c r="E10" s="86">
        <f>IF(E11=0,SUM(E12:E17),E11)</f>
        <v>0</v>
      </c>
      <c r="F10" s="86">
        <f>IF(F11=0,SUM(F12:F17),F11)</f>
        <v>0</v>
      </c>
      <c r="G10" s="87">
        <f>IF(ISNUMBER(+F10/E10-1),+F10/E10-1,0)</f>
        <v>0</v>
      </c>
      <c r="H10" s="86">
        <f>IF(H11=0,SUM(H12:H17),H11)</f>
        <v>0</v>
      </c>
      <c r="I10" s="87">
        <f>IF(ISNUMBER(+H10/F10-1),+H10/F10-1,0)</f>
        <v>0</v>
      </c>
      <c r="J10" s="86">
        <f>IF(J11=0,SUM(J12:J17),J11)</f>
        <v>0</v>
      </c>
      <c r="K10" s="87">
        <f t="shared" ref="K10:K27" si="0">IFERROR(STDEV(E10,F10,H10)/AVERAGE(E10,F10,H10),0)</f>
        <v>0</v>
      </c>
      <c r="L10" s="86">
        <f>IF(L11=0,SUM(L12:L17),L11)</f>
        <v>0</v>
      </c>
      <c r="M10" s="87">
        <f>IF(ISNUMBER(+L10/H10-1),+L10/J10-1,0)</f>
        <v>0</v>
      </c>
      <c r="N10" s="86">
        <f>IF(N11=0,SUM(N12:N17),N11)</f>
        <v>0</v>
      </c>
      <c r="O10" s="87">
        <f t="shared" ref="O10:O27" si="1">IF(ISNUMBER(+N10/L10-1),+N10/L10-1,0)</f>
        <v>0</v>
      </c>
      <c r="P10" s="86">
        <f>IF(P11=0,SUM(P12:P17),P11)</f>
        <v>0</v>
      </c>
      <c r="Q10" s="87">
        <f t="shared" ref="Q10:Q27" si="2">IF(ISNUMBER(+P10/L10-1),+P10/L10-1,0)</f>
        <v>0</v>
      </c>
      <c r="R10" s="42"/>
    </row>
    <row r="11" spans="1:18" ht="15.75" thickBot="1" x14ac:dyDescent="0.3">
      <c r="A11" s="276" t="s">
        <v>718</v>
      </c>
      <c r="B11" s="89"/>
      <c r="C11" s="460" t="str">
        <f>IF(E11&gt;0,Listas!$A$66,Listas!$A$67)</f>
        <v>…</v>
      </c>
      <c r="D11" s="461"/>
      <c r="E11" s="52">
        <v>0</v>
      </c>
      <c r="F11" s="52">
        <f>E11</f>
        <v>0</v>
      </c>
      <c r="G11" s="90">
        <f t="shared" ref="G11" si="3">IF(ISNUMBER(+F11/E11-1),+F11/E11-1,0)</f>
        <v>0</v>
      </c>
      <c r="H11" s="52">
        <f>F11</f>
        <v>0</v>
      </c>
      <c r="I11" s="90">
        <f t="shared" ref="I11" si="4">IF(ISNUMBER(+H11/F11-1),+H11/F11-1,0)</f>
        <v>0</v>
      </c>
      <c r="J11" s="49">
        <f t="shared" ref="J11:J17" si="5">(E11+F11+H11)/3</f>
        <v>0</v>
      </c>
      <c r="K11" s="90">
        <f t="shared" si="0"/>
        <v>0</v>
      </c>
      <c r="L11" s="52">
        <v>0</v>
      </c>
      <c r="M11" s="90">
        <f>IF(ISNUMBER(+L11/H11-1),+L11/J11-1,0)</f>
        <v>0</v>
      </c>
      <c r="N11" s="52">
        <f>J11</f>
        <v>0</v>
      </c>
      <c r="O11" s="90">
        <f t="shared" si="1"/>
        <v>0</v>
      </c>
      <c r="P11" s="52">
        <f>L11</f>
        <v>0</v>
      </c>
      <c r="Q11" s="90">
        <f t="shared" si="2"/>
        <v>0</v>
      </c>
      <c r="R11" s="27"/>
    </row>
    <row r="12" spans="1:18" ht="15.75" thickBot="1" x14ac:dyDescent="0.3">
      <c r="A12" s="276" t="s">
        <v>676</v>
      </c>
      <c r="B12" s="89"/>
      <c r="C12" s="456" t="s">
        <v>621</v>
      </c>
      <c r="D12" s="457"/>
      <c r="E12" s="52">
        <v>0</v>
      </c>
      <c r="F12" s="52">
        <f>E12</f>
        <v>0</v>
      </c>
      <c r="G12" s="90">
        <f t="shared" ref="G12:G27" si="6">IF(ISNUMBER(+F12/E12-1),+F12/E12-1,0)</f>
        <v>0</v>
      </c>
      <c r="H12" s="52">
        <f>F12</f>
        <v>0</v>
      </c>
      <c r="I12" s="90">
        <f t="shared" ref="I12:I27" si="7">IF(ISNUMBER(+H12/F12-1),+H12/F12-1,0)</f>
        <v>0</v>
      </c>
      <c r="J12" s="49">
        <f t="shared" si="5"/>
        <v>0</v>
      </c>
      <c r="K12" s="90">
        <f t="shared" si="0"/>
        <v>0</v>
      </c>
      <c r="L12" s="52">
        <f t="shared" ref="L12:L26" si="8">H12</f>
        <v>0</v>
      </c>
      <c r="M12" s="90">
        <f t="shared" ref="M12:M17" si="9">IF(ISNUMBER(+L12/H12-1),+L12/J12-1,0)</f>
        <v>0</v>
      </c>
      <c r="N12" s="52">
        <f t="shared" ref="N12:N17" si="10">J12</f>
        <v>0</v>
      </c>
      <c r="O12" s="90">
        <f t="shared" si="1"/>
        <v>0</v>
      </c>
      <c r="P12" s="52">
        <f>L12</f>
        <v>0</v>
      </c>
      <c r="Q12" s="90">
        <f t="shared" si="2"/>
        <v>0</v>
      </c>
      <c r="R12" s="27"/>
    </row>
    <row r="13" spans="1:18" ht="15.75" customHeight="1" thickBot="1" x14ac:dyDescent="0.3">
      <c r="A13" s="277" t="s">
        <v>676</v>
      </c>
      <c r="B13" s="91"/>
      <c r="C13" s="458" t="s">
        <v>622</v>
      </c>
      <c r="D13" s="459"/>
      <c r="E13" s="52">
        <v>0</v>
      </c>
      <c r="F13" s="52">
        <f>E13</f>
        <v>0</v>
      </c>
      <c r="G13" s="92">
        <f t="shared" si="6"/>
        <v>0</v>
      </c>
      <c r="H13" s="52">
        <f>F13</f>
        <v>0</v>
      </c>
      <c r="I13" s="92">
        <f t="shared" si="7"/>
        <v>0</v>
      </c>
      <c r="J13" s="49">
        <f t="shared" si="5"/>
        <v>0</v>
      </c>
      <c r="K13" s="92">
        <f t="shared" si="0"/>
        <v>0</v>
      </c>
      <c r="L13" s="52">
        <f t="shared" si="8"/>
        <v>0</v>
      </c>
      <c r="M13" s="92">
        <f t="shared" si="9"/>
        <v>0</v>
      </c>
      <c r="N13" s="52">
        <f t="shared" si="10"/>
        <v>0</v>
      </c>
      <c r="O13" s="92">
        <f t="shared" si="1"/>
        <v>0</v>
      </c>
      <c r="P13" s="52">
        <f>L13</f>
        <v>0</v>
      </c>
      <c r="Q13" s="92">
        <f t="shared" si="2"/>
        <v>0</v>
      </c>
      <c r="R13" s="27"/>
    </row>
    <row r="14" spans="1:18" ht="15.75" thickBot="1" x14ac:dyDescent="0.3">
      <c r="A14" s="276" t="s">
        <v>676</v>
      </c>
      <c r="B14" s="89"/>
      <c r="C14" s="456" t="s">
        <v>623</v>
      </c>
      <c r="D14" s="457"/>
      <c r="E14" s="52">
        <v>0</v>
      </c>
      <c r="F14" s="52">
        <f t="shared" ref="F14:F17" si="11">E14</f>
        <v>0</v>
      </c>
      <c r="G14" s="90">
        <f t="shared" si="6"/>
        <v>0</v>
      </c>
      <c r="H14" s="52">
        <f t="shared" ref="H14:H17" si="12">F14</f>
        <v>0</v>
      </c>
      <c r="I14" s="90">
        <f t="shared" si="7"/>
        <v>0</v>
      </c>
      <c r="J14" s="49">
        <f t="shared" si="5"/>
        <v>0</v>
      </c>
      <c r="K14" s="90">
        <f t="shared" si="0"/>
        <v>0</v>
      </c>
      <c r="L14" s="52">
        <f t="shared" si="8"/>
        <v>0</v>
      </c>
      <c r="M14" s="90">
        <f t="shared" si="9"/>
        <v>0</v>
      </c>
      <c r="N14" s="52">
        <f t="shared" si="10"/>
        <v>0</v>
      </c>
      <c r="O14" s="90">
        <f t="shared" si="1"/>
        <v>0</v>
      </c>
      <c r="P14" s="52">
        <f t="shared" ref="P14:P17" si="13">L14</f>
        <v>0</v>
      </c>
      <c r="Q14" s="90">
        <f t="shared" si="2"/>
        <v>0</v>
      </c>
      <c r="R14" s="27"/>
    </row>
    <row r="15" spans="1:18" ht="15.75" thickBot="1" x14ac:dyDescent="0.3">
      <c r="A15" s="277" t="s">
        <v>676</v>
      </c>
      <c r="B15" s="91"/>
      <c r="C15" s="458" t="s">
        <v>624</v>
      </c>
      <c r="D15" s="459"/>
      <c r="E15" s="52">
        <v>0</v>
      </c>
      <c r="F15" s="52">
        <f t="shared" si="11"/>
        <v>0</v>
      </c>
      <c r="G15" s="92">
        <f t="shared" si="6"/>
        <v>0</v>
      </c>
      <c r="H15" s="52">
        <f t="shared" si="12"/>
        <v>0</v>
      </c>
      <c r="I15" s="92">
        <f t="shared" si="7"/>
        <v>0</v>
      </c>
      <c r="J15" s="49">
        <f t="shared" si="5"/>
        <v>0</v>
      </c>
      <c r="K15" s="92">
        <f t="shared" si="0"/>
        <v>0</v>
      </c>
      <c r="L15" s="52">
        <f t="shared" si="8"/>
        <v>0</v>
      </c>
      <c r="M15" s="92">
        <f t="shared" si="9"/>
        <v>0</v>
      </c>
      <c r="N15" s="52">
        <f t="shared" si="10"/>
        <v>0</v>
      </c>
      <c r="O15" s="92">
        <f t="shared" si="1"/>
        <v>0</v>
      </c>
      <c r="P15" s="52">
        <f t="shared" si="13"/>
        <v>0</v>
      </c>
      <c r="Q15" s="92">
        <f t="shared" si="2"/>
        <v>0</v>
      </c>
      <c r="R15" s="27"/>
    </row>
    <row r="16" spans="1:18" ht="15.75" thickBot="1" x14ac:dyDescent="0.3">
      <c r="A16" s="276" t="s">
        <v>676</v>
      </c>
      <c r="B16" s="89"/>
      <c r="C16" s="456" t="s">
        <v>625</v>
      </c>
      <c r="D16" s="457"/>
      <c r="E16" s="52">
        <v>0</v>
      </c>
      <c r="F16" s="52">
        <f t="shared" si="11"/>
        <v>0</v>
      </c>
      <c r="G16" s="90">
        <f t="shared" si="6"/>
        <v>0</v>
      </c>
      <c r="H16" s="52">
        <f t="shared" si="12"/>
        <v>0</v>
      </c>
      <c r="I16" s="90">
        <f t="shared" si="7"/>
        <v>0</v>
      </c>
      <c r="J16" s="49">
        <f t="shared" si="5"/>
        <v>0</v>
      </c>
      <c r="K16" s="90">
        <f t="shared" si="0"/>
        <v>0</v>
      </c>
      <c r="L16" s="52">
        <f t="shared" si="8"/>
        <v>0</v>
      </c>
      <c r="M16" s="90">
        <f t="shared" si="9"/>
        <v>0</v>
      </c>
      <c r="N16" s="52">
        <f t="shared" si="10"/>
        <v>0</v>
      </c>
      <c r="O16" s="90">
        <f t="shared" si="1"/>
        <v>0</v>
      </c>
      <c r="P16" s="52">
        <f t="shared" si="13"/>
        <v>0</v>
      </c>
      <c r="Q16" s="90">
        <f t="shared" si="2"/>
        <v>0</v>
      </c>
      <c r="R16" s="27"/>
    </row>
    <row r="17" spans="1:18" ht="15.75" thickBot="1" x14ac:dyDescent="0.3">
      <c r="A17" s="277" t="s">
        <v>676</v>
      </c>
      <c r="B17" s="91"/>
      <c r="C17" s="117" t="s">
        <v>626</v>
      </c>
      <c r="D17" s="118"/>
      <c r="E17" s="52">
        <v>0</v>
      </c>
      <c r="F17" s="52">
        <f t="shared" si="11"/>
        <v>0</v>
      </c>
      <c r="G17" s="92">
        <f t="shared" si="6"/>
        <v>0</v>
      </c>
      <c r="H17" s="52">
        <f t="shared" si="12"/>
        <v>0</v>
      </c>
      <c r="I17" s="92">
        <f t="shared" si="7"/>
        <v>0</v>
      </c>
      <c r="J17" s="49">
        <f t="shared" si="5"/>
        <v>0</v>
      </c>
      <c r="K17" s="92">
        <f t="shared" si="0"/>
        <v>0</v>
      </c>
      <c r="L17" s="52">
        <f t="shared" si="8"/>
        <v>0</v>
      </c>
      <c r="M17" s="92">
        <f t="shared" si="9"/>
        <v>0</v>
      </c>
      <c r="N17" s="52">
        <f t="shared" si="10"/>
        <v>0</v>
      </c>
      <c r="O17" s="92">
        <f t="shared" si="1"/>
        <v>0</v>
      </c>
      <c r="P17" s="52">
        <f t="shared" si="13"/>
        <v>0</v>
      </c>
      <c r="Q17" s="92">
        <f t="shared" si="2"/>
        <v>0</v>
      </c>
      <c r="R17" s="27"/>
    </row>
    <row r="18" spans="1:18" ht="15.75" thickBot="1" x14ac:dyDescent="0.3">
      <c r="A18" s="275" t="s">
        <v>719</v>
      </c>
      <c r="B18" s="427" t="s">
        <v>627</v>
      </c>
      <c r="C18" s="427"/>
      <c r="D18" s="427"/>
      <c r="E18" s="86">
        <f>IF(E19=0,SUM(E20:E26),E19)</f>
        <v>0</v>
      </c>
      <c r="F18" s="86">
        <f>IF(F19=0,SUM(F20:F26),F19)</f>
        <v>0</v>
      </c>
      <c r="G18" s="87">
        <f t="shared" si="6"/>
        <v>0</v>
      </c>
      <c r="H18" s="86">
        <f>IF(H19=0,SUM(H20:H26),H19)</f>
        <v>0</v>
      </c>
      <c r="I18" s="87">
        <f t="shared" si="7"/>
        <v>0</v>
      </c>
      <c r="J18" s="86">
        <f>IF(J19=0,SUM(J20:J26),J19)</f>
        <v>0</v>
      </c>
      <c r="K18" s="87">
        <f t="shared" si="0"/>
        <v>0</v>
      </c>
      <c r="L18" s="86">
        <f>IF(L19=0,SUM(L20:L26),L19)</f>
        <v>0</v>
      </c>
      <c r="M18" s="87">
        <f>IF(ISNUMBER(+L18/H18-1),+L18/J18-1,0)</f>
        <v>0</v>
      </c>
      <c r="N18" s="86">
        <f>IF(N19=0,SUM(N20:N26),N19)</f>
        <v>0</v>
      </c>
      <c r="O18" s="87">
        <f t="shared" si="1"/>
        <v>0</v>
      </c>
      <c r="P18" s="86">
        <f>IF(P19=0,SUM(P20:P26),P19)</f>
        <v>0</v>
      </c>
      <c r="Q18" s="87">
        <f t="shared" si="2"/>
        <v>0</v>
      </c>
      <c r="R18" s="42"/>
    </row>
    <row r="19" spans="1:18" ht="15" customHeight="1" thickBot="1" x14ac:dyDescent="0.3">
      <c r="A19" s="276" t="s">
        <v>718</v>
      </c>
      <c r="B19" s="89"/>
      <c r="C19" s="460" t="str">
        <f>IF(E19&gt;0,Listas!$A$66,Listas!$A$67)</f>
        <v>…</v>
      </c>
      <c r="D19" s="461"/>
      <c r="E19" s="52">
        <v>0</v>
      </c>
      <c r="F19" s="52">
        <f>E19</f>
        <v>0</v>
      </c>
      <c r="G19" s="90">
        <f t="shared" si="6"/>
        <v>0</v>
      </c>
      <c r="H19" s="52">
        <f>F19</f>
        <v>0</v>
      </c>
      <c r="I19" s="90">
        <f t="shared" si="7"/>
        <v>0</v>
      </c>
      <c r="J19" s="49">
        <f t="shared" ref="J19:J26" si="14">(E19+F19+H19)/3</f>
        <v>0</v>
      </c>
      <c r="K19" s="90">
        <f t="shared" si="0"/>
        <v>0</v>
      </c>
      <c r="L19" s="52">
        <f t="shared" si="8"/>
        <v>0</v>
      </c>
      <c r="M19" s="90">
        <f>IF(ISNUMBER(+L19/H19-1),+L19/J19-1,0)</f>
        <v>0</v>
      </c>
      <c r="N19" s="52">
        <f t="shared" ref="N19:N26" si="15">J19</f>
        <v>0</v>
      </c>
      <c r="O19" s="90">
        <f t="shared" si="1"/>
        <v>0</v>
      </c>
      <c r="P19" s="52">
        <f>L19</f>
        <v>0</v>
      </c>
      <c r="Q19" s="90">
        <f t="shared" si="2"/>
        <v>0</v>
      </c>
      <c r="R19" s="27"/>
    </row>
    <row r="20" spans="1:18" ht="15.75" thickBot="1" x14ac:dyDescent="0.3">
      <c r="A20" s="276" t="s">
        <v>676</v>
      </c>
      <c r="B20" s="89"/>
      <c r="C20" s="456" t="s">
        <v>628</v>
      </c>
      <c r="D20" s="457"/>
      <c r="E20" s="52">
        <v>0</v>
      </c>
      <c r="F20" s="52">
        <f t="shared" ref="F20:F26" si="16">E20</f>
        <v>0</v>
      </c>
      <c r="G20" s="90">
        <f t="shared" si="6"/>
        <v>0</v>
      </c>
      <c r="H20" s="52">
        <f t="shared" ref="H20:H26" si="17">F20</f>
        <v>0</v>
      </c>
      <c r="I20" s="90">
        <f t="shared" si="7"/>
        <v>0</v>
      </c>
      <c r="J20" s="49">
        <f t="shared" si="14"/>
        <v>0</v>
      </c>
      <c r="K20" s="90">
        <f t="shared" si="0"/>
        <v>0</v>
      </c>
      <c r="L20" s="52">
        <f t="shared" si="8"/>
        <v>0</v>
      </c>
      <c r="M20" s="90">
        <f t="shared" ref="M20:M26" si="18">IF(ISNUMBER(+L20/H20-1),+L20/J20-1,0)</f>
        <v>0</v>
      </c>
      <c r="N20" s="52">
        <f t="shared" si="15"/>
        <v>0</v>
      </c>
      <c r="O20" s="90">
        <f t="shared" si="1"/>
        <v>0</v>
      </c>
      <c r="P20" s="52">
        <f t="shared" ref="P20:P26" si="19">L20</f>
        <v>0</v>
      </c>
      <c r="Q20" s="90">
        <f t="shared" si="2"/>
        <v>0</v>
      </c>
      <c r="R20" s="27"/>
    </row>
    <row r="21" spans="1:18" ht="15.75" thickBot="1" x14ac:dyDescent="0.3">
      <c r="A21" s="277" t="s">
        <v>676</v>
      </c>
      <c r="B21" s="91"/>
      <c r="C21" s="458" t="s">
        <v>629</v>
      </c>
      <c r="D21" s="459"/>
      <c r="E21" s="52">
        <v>0</v>
      </c>
      <c r="F21" s="52">
        <f t="shared" si="16"/>
        <v>0</v>
      </c>
      <c r="G21" s="92">
        <f t="shared" si="6"/>
        <v>0</v>
      </c>
      <c r="H21" s="52">
        <f t="shared" si="17"/>
        <v>0</v>
      </c>
      <c r="I21" s="92">
        <f t="shared" si="7"/>
        <v>0</v>
      </c>
      <c r="J21" s="49">
        <f t="shared" si="14"/>
        <v>0</v>
      </c>
      <c r="K21" s="92">
        <f t="shared" si="0"/>
        <v>0</v>
      </c>
      <c r="L21" s="52">
        <f t="shared" si="8"/>
        <v>0</v>
      </c>
      <c r="M21" s="92">
        <f t="shared" si="18"/>
        <v>0</v>
      </c>
      <c r="N21" s="52">
        <f t="shared" si="15"/>
        <v>0</v>
      </c>
      <c r="O21" s="92">
        <f t="shared" si="1"/>
        <v>0</v>
      </c>
      <c r="P21" s="52">
        <f t="shared" si="19"/>
        <v>0</v>
      </c>
      <c r="Q21" s="92">
        <f t="shared" si="2"/>
        <v>0</v>
      </c>
      <c r="R21" s="27"/>
    </row>
    <row r="22" spans="1:18" ht="15.75" thickBot="1" x14ac:dyDescent="0.3">
      <c r="A22" s="276" t="s">
        <v>676</v>
      </c>
      <c r="B22" s="89"/>
      <c r="C22" s="456" t="s">
        <v>630</v>
      </c>
      <c r="D22" s="457"/>
      <c r="E22" s="52">
        <v>0</v>
      </c>
      <c r="F22" s="52">
        <f t="shared" si="16"/>
        <v>0</v>
      </c>
      <c r="G22" s="90">
        <f t="shared" si="6"/>
        <v>0</v>
      </c>
      <c r="H22" s="52">
        <f t="shared" si="17"/>
        <v>0</v>
      </c>
      <c r="I22" s="90">
        <f t="shared" si="7"/>
        <v>0</v>
      </c>
      <c r="J22" s="49">
        <f t="shared" si="14"/>
        <v>0</v>
      </c>
      <c r="K22" s="90">
        <f t="shared" si="0"/>
        <v>0</v>
      </c>
      <c r="L22" s="52">
        <f t="shared" si="8"/>
        <v>0</v>
      </c>
      <c r="M22" s="90">
        <f t="shared" si="18"/>
        <v>0</v>
      </c>
      <c r="N22" s="52">
        <f t="shared" si="15"/>
        <v>0</v>
      </c>
      <c r="O22" s="90">
        <f t="shared" si="1"/>
        <v>0</v>
      </c>
      <c r="P22" s="52">
        <f t="shared" si="19"/>
        <v>0</v>
      </c>
      <c r="Q22" s="90">
        <f t="shared" si="2"/>
        <v>0</v>
      </c>
      <c r="R22" s="27"/>
    </row>
    <row r="23" spans="1:18" ht="15.75" thickBot="1" x14ac:dyDescent="0.3">
      <c r="A23" s="277" t="s">
        <v>676</v>
      </c>
      <c r="B23" s="91"/>
      <c r="C23" s="458" t="s">
        <v>631</v>
      </c>
      <c r="D23" s="459"/>
      <c r="E23" s="52">
        <v>0</v>
      </c>
      <c r="F23" s="52">
        <f t="shared" si="16"/>
        <v>0</v>
      </c>
      <c r="G23" s="92">
        <f t="shared" si="6"/>
        <v>0</v>
      </c>
      <c r="H23" s="52">
        <f t="shared" si="17"/>
        <v>0</v>
      </c>
      <c r="I23" s="92">
        <f t="shared" si="7"/>
        <v>0</v>
      </c>
      <c r="J23" s="49">
        <f t="shared" si="14"/>
        <v>0</v>
      </c>
      <c r="K23" s="92">
        <f t="shared" si="0"/>
        <v>0</v>
      </c>
      <c r="L23" s="52">
        <f t="shared" si="8"/>
        <v>0</v>
      </c>
      <c r="M23" s="92">
        <f t="shared" si="18"/>
        <v>0</v>
      </c>
      <c r="N23" s="52">
        <f t="shared" si="15"/>
        <v>0</v>
      </c>
      <c r="O23" s="92">
        <f t="shared" si="1"/>
        <v>0</v>
      </c>
      <c r="P23" s="52">
        <f t="shared" si="19"/>
        <v>0</v>
      </c>
      <c r="Q23" s="92">
        <f t="shared" si="2"/>
        <v>0</v>
      </c>
      <c r="R23" s="27"/>
    </row>
    <row r="24" spans="1:18" ht="15.75" thickBot="1" x14ac:dyDescent="0.3">
      <c r="A24" s="276" t="s">
        <v>676</v>
      </c>
      <c r="B24" s="89"/>
      <c r="C24" s="456" t="s">
        <v>632</v>
      </c>
      <c r="D24" s="457"/>
      <c r="E24" s="52">
        <v>0</v>
      </c>
      <c r="F24" s="52">
        <f t="shared" si="16"/>
        <v>0</v>
      </c>
      <c r="G24" s="90">
        <f t="shared" si="6"/>
        <v>0</v>
      </c>
      <c r="H24" s="52">
        <f t="shared" si="17"/>
        <v>0</v>
      </c>
      <c r="I24" s="90">
        <f t="shared" si="7"/>
        <v>0</v>
      </c>
      <c r="J24" s="49">
        <f t="shared" si="14"/>
        <v>0</v>
      </c>
      <c r="K24" s="90">
        <f t="shared" si="0"/>
        <v>0</v>
      </c>
      <c r="L24" s="52">
        <f t="shared" si="8"/>
        <v>0</v>
      </c>
      <c r="M24" s="90">
        <f t="shared" si="18"/>
        <v>0</v>
      </c>
      <c r="N24" s="52">
        <f t="shared" si="15"/>
        <v>0</v>
      </c>
      <c r="O24" s="90">
        <f t="shared" si="1"/>
        <v>0</v>
      </c>
      <c r="P24" s="52">
        <f t="shared" si="19"/>
        <v>0</v>
      </c>
      <c r="Q24" s="90">
        <f t="shared" si="2"/>
        <v>0</v>
      </c>
      <c r="R24" s="27"/>
    </row>
    <row r="25" spans="1:18" ht="15.75" thickBot="1" x14ac:dyDescent="0.3">
      <c r="A25" s="277" t="s">
        <v>676</v>
      </c>
      <c r="B25" s="91"/>
      <c r="C25" s="458" t="s">
        <v>633</v>
      </c>
      <c r="D25" s="459"/>
      <c r="E25" s="52">
        <v>0</v>
      </c>
      <c r="F25" s="52">
        <f t="shared" si="16"/>
        <v>0</v>
      </c>
      <c r="G25" s="92">
        <f t="shared" si="6"/>
        <v>0</v>
      </c>
      <c r="H25" s="52">
        <f t="shared" si="17"/>
        <v>0</v>
      </c>
      <c r="I25" s="92">
        <f t="shared" si="7"/>
        <v>0</v>
      </c>
      <c r="J25" s="49">
        <f t="shared" si="14"/>
        <v>0</v>
      </c>
      <c r="K25" s="92">
        <f t="shared" si="0"/>
        <v>0</v>
      </c>
      <c r="L25" s="52">
        <f t="shared" si="8"/>
        <v>0</v>
      </c>
      <c r="M25" s="92">
        <f t="shared" si="18"/>
        <v>0</v>
      </c>
      <c r="N25" s="52">
        <f t="shared" si="15"/>
        <v>0</v>
      </c>
      <c r="O25" s="92">
        <f t="shared" si="1"/>
        <v>0</v>
      </c>
      <c r="P25" s="52">
        <f t="shared" si="19"/>
        <v>0</v>
      </c>
      <c r="Q25" s="92">
        <f t="shared" si="2"/>
        <v>0</v>
      </c>
      <c r="R25" s="27"/>
    </row>
    <row r="26" spans="1:18" ht="15.75" thickBot="1" x14ac:dyDescent="0.3">
      <c r="A26" s="276" t="s">
        <v>676</v>
      </c>
      <c r="B26" s="89"/>
      <c r="C26" s="456" t="s">
        <v>634</v>
      </c>
      <c r="D26" s="457"/>
      <c r="E26" s="52">
        <v>0</v>
      </c>
      <c r="F26" s="52">
        <f t="shared" si="16"/>
        <v>0</v>
      </c>
      <c r="G26" s="90">
        <f t="shared" si="6"/>
        <v>0</v>
      </c>
      <c r="H26" s="52">
        <f t="shared" si="17"/>
        <v>0</v>
      </c>
      <c r="I26" s="90">
        <f t="shared" si="7"/>
        <v>0</v>
      </c>
      <c r="J26" s="49">
        <f t="shared" si="14"/>
        <v>0</v>
      </c>
      <c r="K26" s="90">
        <f t="shared" si="0"/>
        <v>0</v>
      </c>
      <c r="L26" s="52">
        <f t="shared" si="8"/>
        <v>0</v>
      </c>
      <c r="M26" s="90">
        <f t="shared" si="18"/>
        <v>0</v>
      </c>
      <c r="N26" s="52">
        <f t="shared" si="15"/>
        <v>0</v>
      </c>
      <c r="O26" s="90">
        <f t="shared" si="1"/>
        <v>0</v>
      </c>
      <c r="P26" s="52">
        <f t="shared" si="19"/>
        <v>0</v>
      </c>
      <c r="Q26" s="90">
        <f t="shared" si="2"/>
        <v>0</v>
      </c>
      <c r="R26" s="27"/>
    </row>
    <row r="27" spans="1:18" ht="15.75" thickBot="1" x14ac:dyDescent="0.3">
      <c r="A27" s="275" t="s">
        <v>676</v>
      </c>
      <c r="B27" s="427" t="s">
        <v>635</v>
      </c>
      <c r="C27" s="427"/>
      <c r="D27" s="427"/>
      <c r="E27" s="86">
        <f>SUM(E10,E18)</f>
        <v>0</v>
      </c>
      <c r="F27" s="86">
        <f>SUM(F10,F18)</f>
        <v>0</v>
      </c>
      <c r="G27" s="87">
        <f t="shared" si="6"/>
        <v>0</v>
      </c>
      <c r="H27" s="86">
        <f>SUM(H10,H18)</f>
        <v>0</v>
      </c>
      <c r="I27" s="87">
        <f t="shared" si="7"/>
        <v>0</v>
      </c>
      <c r="J27" s="86">
        <f>SUM(J10,J18)</f>
        <v>0</v>
      </c>
      <c r="K27" s="87">
        <f t="shared" si="0"/>
        <v>0</v>
      </c>
      <c r="L27" s="86">
        <f>SUM(L10,L18)</f>
        <v>0</v>
      </c>
      <c r="M27" s="87">
        <f>IF(ISNUMBER(+L27/H27-1),+L27/J27-1,0)</f>
        <v>0</v>
      </c>
      <c r="N27" s="86">
        <f>SUM(N10,N18)</f>
        <v>0</v>
      </c>
      <c r="O27" s="87">
        <f t="shared" si="1"/>
        <v>0</v>
      </c>
      <c r="P27" s="86">
        <f>SUM(P10,P18)</f>
        <v>0</v>
      </c>
      <c r="Q27" s="87">
        <f t="shared" si="2"/>
        <v>0</v>
      </c>
      <c r="R27" s="42"/>
    </row>
    <row r="28" spans="1:18" ht="16.5" thickBot="1" x14ac:dyDescent="0.3">
      <c r="A28" s="274" t="s">
        <v>677</v>
      </c>
      <c r="B28" s="109" t="s">
        <v>671</v>
      </c>
      <c r="C28" s="109"/>
      <c r="D28" s="109"/>
      <c r="E28" s="110">
        <f>E9</f>
        <v>2015</v>
      </c>
      <c r="F28" s="462">
        <f>F9</f>
        <v>2016</v>
      </c>
      <c r="G28" s="462"/>
      <c r="H28" s="462">
        <f>H9</f>
        <v>2017</v>
      </c>
      <c r="I28" s="462"/>
      <c r="J28" s="124" t="s">
        <v>763</v>
      </c>
      <c r="K28" s="125" t="s">
        <v>687</v>
      </c>
      <c r="L28" s="110">
        <f>L9</f>
        <v>2018</v>
      </c>
      <c r="M28" s="110"/>
      <c r="N28" s="110">
        <f>N9</f>
        <v>2019</v>
      </c>
      <c r="O28" s="110"/>
      <c r="P28" s="462">
        <f>P9</f>
        <v>2020</v>
      </c>
      <c r="Q28" s="462"/>
      <c r="R28" s="27"/>
    </row>
    <row r="29" spans="1:18" ht="15.75" thickBot="1" x14ac:dyDescent="0.3">
      <c r="A29" s="275" t="s">
        <v>677</v>
      </c>
      <c r="B29" s="427" t="s">
        <v>636</v>
      </c>
      <c r="C29" s="427"/>
      <c r="D29" s="427"/>
      <c r="E29" s="86">
        <f>IF(E30=0,SUM(E31:E33),E30)</f>
        <v>0</v>
      </c>
      <c r="F29" s="86">
        <f>IF(F30=0,SUM(F31:F33),F30)</f>
        <v>0</v>
      </c>
      <c r="G29" s="87">
        <f t="shared" ref="G29:G49" si="20">IF(ISNUMBER(+F29/E29-1),+F29/E29-1,0)</f>
        <v>0</v>
      </c>
      <c r="H29" s="86">
        <f>IF(H30=0,SUM(H31:H33),H30)</f>
        <v>0</v>
      </c>
      <c r="I29" s="87">
        <f t="shared" ref="I29:I49" si="21">IF(ISNUMBER(+H29/F29-1),+H29/F29-1,0)</f>
        <v>0</v>
      </c>
      <c r="J29" s="86">
        <f>IF(J30=0,SUM(J31:J33),J30)</f>
        <v>0</v>
      </c>
      <c r="K29" s="87">
        <f t="shared" ref="K29:K49" si="22">IFERROR(STDEV(E29,F29,H29)/AVERAGE(E29,F29,H29),0)</f>
        <v>0</v>
      </c>
      <c r="L29" s="86">
        <f>IF(L30=0,SUM(L31:L33),L30)</f>
        <v>0</v>
      </c>
      <c r="M29" s="87">
        <f>IF(ISNUMBER(+L29/H29-1),+L29/J29-1,0)</f>
        <v>0</v>
      </c>
      <c r="N29" s="86">
        <f>IF(N30=0,SUM(N31:N33),N30)</f>
        <v>0</v>
      </c>
      <c r="O29" s="87">
        <f t="shared" ref="O29:O49" si="23">IF(ISNUMBER(+N29/L29-1),+N29/L29-1,0)</f>
        <v>0</v>
      </c>
      <c r="P29" s="86">
        <f>IF(P30=0,SUM(P31:P33),P30)</f>
        <v>0</v>
      </c>
      <c r="Q29" s="87">
        <f t="shared" ref="Q29:Q49" si="24">IF(ISNUMBER(+P29/L29-1),+P29/L29-1,0)</f>
        <v>0</v>
      </c>
      <c r="R29" s="42"/>
    </row>
    <row r="30" spans="1:18" ht="15.75" thickBot="1" x14ac:dyDescent="0.3">
      <c r="A30" s="276" t="s">
        <v>718</v>
      </c>
      <c r="B30" s="89"/>
      <c r="C30" s="460" t="str">
        <f>IF(E30&gt;0,Listas!$A$66,Listas!$A$67)</f>
        <v>…</v>
      </c>
      <c r="D30" s="461"/>
      <c r="E30" s="52">
        <v>0</v>
      </c>
      <c r="F30" s="52">
        <f>E30</f>
        <v>0</v>
      </c>
      <c r="G30" s="90">
        <f t="shared" si="20"/>
        <v>0</v>
      </c>
      <c r="H30" s="52">
        <f>F30</f>
        <v>0</v>
      </c>
      <c r="I30" s="90">
        <f t="shared" si="21"/>
        <v>0</v>
      </c>
      <c r="J30" s="49">
        <f t="shared" ref="J30:J33" si="25">(E30+F30+H30)/3</f>
        <v>0</v>
      </c>
      <c r="K30" s="90">
        <f t="shared" si="22"/>
        <v>0</v>
      </c>
      <c r="L30" s="52">
        <f t="shared" ref="L30:L48" si="26">H30</f>
        <v>0</v>
      </c>
      <c r="M30" s="90">
        <f>IF(ISNUMBER(+L30/H30-1),+L30/J30-1,0)</f>
        <v>0</v>
      </c>
      <c r="N30" s="52">
        <f t="shared" ref="N30:N33" si="27">J30</f>
        <v>0</v>
      </c>
      <c r="O30" s="90">
        <f t="shared" si="23"/>
        <v>0</v>
      </c>
      <c r="P30" s="52">
        <f>L30</f>
        <v>0</v>
      </c>
      <c r="Q30" s="90">
        <f t="shared" si="24"/>
        <v>0</v>
      </c>
      <c r="R30" s="27"/>
    </row>
    <row r="31" spans="1:18" ht="15.75" thickBot="1" x14ac:dyDescent="0.3">
      <c r="A31" s="276" t="s">
        <v>677</v>
      </c>
      <c r="B31" s="89"/>
      <c r="C31" s="456" t="s">
        <v>637</v>
      </c>
      <c r="D31" s="457"/>
      <c r="E31" s="52">
        <v>0</v>
      </c>
      <c r="F31" s="52">
        <f>E31</f>
        <v>0</v>
      </c>
      <c r="G31" s="90">
        <f t="shared" si="20"/>
        <v>0</v>
      </c>
      <c r="H31" s="52">
        <f>F31</f>
        <v>0</v>
      </c>
      <c r="I31" s="90">
        <f t="shared" si="21"/>
        <v>0</v>
      </c>
      <c r="J31" s="49">
        <f t="shared" si="25"/>
        <v>0</v>
      </c>
      <c r="K31" s="90">
        <f t="shared" si="22"/>
        <v>0</v>
      </c>
      <c r="L31" s="52">
        <f t="shared" si="26"/>
        <v>0</v>
      </c>
      <c r="M31" s="90">
        <f t="shared" ref="M31:M93" si="28">IF(ISNUMBER(+L31/H31-1),+L31/J31-1,0)</f>
        <v>0</v>
      </c>
      <c r="N31" s="52">
        <f t="shared" si="27"/>
        <v>0</v>
      </c>
      <c r="O31" s="90">
        <f t="shared" si="23"/>
        <v>0</v>
      </c>
      <c r="P31" s="52">
        <f t="shared" ref="P31:P33" si="29">L31</f>
        <v>0</v>
      </c>
      <c r="Q31" s="90">
        <f t="shared" si="24"/>
        <v>0</v>
      </c>
      <c r="R31" s="27"/>
    </row>
    <row r="32" spans="1:18" ht="15.75" thickBot="1" x14ac:dyDescent="0.3">
      <c r="A32" s="277" t="s">
        <v>677</v>
      </c>
      <c r="B32" s="91"/>
      <c r="C32" s="458" t="s">
        <v>638</v>
      </c>
      <c r="D32" s="459"/>
      <c r="E32" s="52">
        <v>0</v>
      </c>
      <c r="F32" s="52">
        <f>E32</f>
        <v>0</v>
      </c>
      <c r="G32" s="92">
        <f t="shared" si="20"/>
        <v>0</v>
      </c>
      <c r="H32" s="52">
        <f>F32</f>
        <v>0</v>
      </c>
      <c r="I32" s="92">
        <f t="shared" si="21"/>
        <v>0</v>
      </c>
      <c r="J32" s="49">
        <f t="shared" si="25"/>
        <v>0</v>
      </c>
      <c r="K32" s="92">
        <f t="shared" si="22"/>
        <v>0</v>
      </c>
      <c r="L32" s="52">
        <f t="shared" si="26"/>
        <v>0</v>
      </c>
      <c r="M32" s="92">
        <f t="shared" si="28"/>
        <v>0</v>
      </c>
      <c r="N32" s="52">
        <f t="shared" si="27"/>
        <v>0</v>
      </c>
      <c r="O32" s="92">
        <f t="shared" si="23"/>
        <v>0</v>
      </c>
      <c r="P32" s="52">
        <f t="shared" si="29"/>
        <v>0</v>
      </c>
      <c r="Q32" s="92">
        <f t="shared" si="24"/>
        <v>0</v>
      </c>
      <c r="R32" s="27"/>
    </row>
    <row r="33" spans="1:18" ht="15.75" thickBot="1" x14ac:dyDescent="0.3">
      <c r="A33" s="276" t="s">
        <v>677</v>
      </c>
      <c r="B33" s="89"/>
      <c r="C33" s="456" t="s">
        <v>639</v>
      </c>
      <c r="D33" s="457"/>
      <c r="E33" s="52">
        <v>0</v>
      </c>
      <c r="F33" s="52">
        <f t="shared" ref="F33" si="30">E33</f>
        <v>0</v>
      </c>
      <c r="G33" s="90">
        <f t="shared" si="20"/>
        <v>0</v>
      </c>
      <c r="H33" s="52">
        <f>F33</f>
        <v>0</v>
      </c>
      <c r="I33" s="90">
        <f t="shared" si="21"/>
        <v>0</v>
      </c>
      <c r="J33" s="49">
        <f t="shared" si="25"/>
        <v>0</v>
      </c>
      <c r="K33" s="90">
        <f t="shared" si="22"/>
        <v>0</v>
      </c>
      <c r="L33" s="52">
        <f t="shared" si="26"/>
        <v>0</v>
      </c>
      <c r="M33" s="90">
        <f t="shared" si="28"/>
        <v>0</v>
      </c>
      <c r="N33" s="52">
        <f t="shared" si="27"/>
        <v>0</v>
      </c>
      <c r="O33" s="90">
        <f t="shared" si="23"/>
        <v>0</v>
      </c>
      <c r="P33" s="52">
        <f t="shared" si="29"/>
        <v>0</v>
      </c>
      <c r="Q33" s="90">
        <f t="shared" si="24"/>
        <v>0</v>
      </c>
      <c r="R33" s="27"/>
    </row>
    <row r="34" spans="1:18" ht="15.75" thickBot="1" x14ac:dyDescent="0.3">
      <c r="A34" s="275" t="s">
        <v>677</v>
      </c>
      <c r="B34" s="427" t="s">
        <v>640</v>
      </c>
      <c r="C34" s="427"/>
      <c r="D34" s="427"/>
      <c r="E34" s="86">
        <f>IF(E35=0,SUM(E36:E40),E35)</f>
        <v>0</v>
      </c>
      <c r="F34" s="86">
        <f>IF(F35=0,SUM(F36:F40),F35)</f>
        <v>0</v>
      </c>
      <c r="G34" s="87">
        <f t="shared" si="20"/>
        <v>0</v>
      </c>
      <c r="H34" s="86">
        <f>IF(H35=0,SUM(H36:H40),H35)</f>
        <v>0</v>
      </c>
      <c r="I34" s="87">
        <f t="shared" si="21"/>
        <v>0</v>
      </c>
      <c r="J34" s="86">
        <f>IF(J35=0,SUM(J36:J40),J35)</f>
        <v>0</v>
      </c>
      <c r="K34" s="87">
        <f t="shared" si="22"/>
        <v>0</v>
      </c>
      <c r="L34" s="86">
        <f>IF(L35=0,SUM(L36:L40),L35)</f>
        <v>0</v>
      </c>
      <c r="M34" s="87">
        <f t="shared" si="28"/>
        <v>0</v>
      </c>
      <c r="N34" s="86">
        <f>IF(N35=0,SUM(N36:N40),N35)</f>
        <v>0</v>
      </c>
      <c r="O34" s="87">
        <f t="shared" si="23"/>
        <v>0</v>
      </c>
      <c r="P34" s="86">
        <f>IF(P35=0,SUM(P36:P40),P35)</f>
        <v>0</v>
      </c>
      <c r="Q34" s="87">
        <f t="shared" si="24"/>
        <v>0</v>
      </c>
      <c r="R34" s="42"/>
    </row>
    <row r="35" spans="1:18" ht="15.75" thickBot="1" x14ac:dyDescent="0.3">
      <c r="A35" s="276" t="s">
        <v>718</v>
      </c>
      <c r="B35" s="89"/>
      <c r="C35" s="460" t="str">
        <f>IF(E35&gt;0,Listas!$A$66,Listas!$A$67)</f>
        <v>…</v>
      </c>
      <c r="D35" s="461"/>
      <c r="E35" s="52">
        <v>0</v>
      </c>
      <c r="F35" s="52">
        <f>E35</f>
        <v>0</v>
      </c>
      <c r="G35" s="90">
        <f t="shared" ref="G35" si="31">IF(ISNUMBER(+F35/E35-1),+F35/E35-1,0)</f>
        <v>0</v>
      </c>
      <c r="H35" s="52">
        <f>F35</f>
        <v>0</v>
      </c>
      <c r="I35" s="90">
        <f t="shared" ref="I35" si="32">IF(ISNUMBER(+H35/F35-1),+H35/F35-1,0)</f>
        <v>0</v>
      </c>
      <c r="J35" s="49">
        <f t="shared" ref="J35:J40" si="33">(E35+F35+H35)/3</f>
        <v>0</v>
      </c>
      <c r="K35" s="90">
        <f t="shared" si="22"/>
        <v>0</v>
      </c>
      <c r="L35" s="52">
        <f t="shared" si="26"/>
        <v>0</v>
      </c>
      <c r="M35" s="90">
        <f t="shared" si="28"/>
        <v>0</v>
      </c>
      <c r="N35" s="52">
        <f t="shared" ref="N35:N40" si="34">J35</f>
        <v>0</v>
      </c>
      <c r="O35" s="90">
        <f t="shared" si="23"/>
        <v>0</v>
      </c>
      <c r="P35" s="52">
        <f>L35</f>
        <v>0</v>
      </c>
      <c r="Q35" s="90">
        <f t="shared" si="24"/>
        <v>0</v>
      </c>
      <c r="R35" s="27"/>
    </row>
    <row r="36" spans="1:18" ht="15.75" thickBot="1" x14ac:dyDescent="0.3">
      <c r="A36" s="276" t="s">
        <v>677</v>
      </c>
      <c r="B36" s="89"/>
      <c r="C36" s="456" t="s">
        <v>641</v>
      </c>
      <c r="D36" s="457"/>
      <c r="E36" s="52">
        <v>0</v>
      </c>
      <c r="F36" s="52">
        <f>E36</f>
        <v>0</v>
      </c>
      <c r="G36" s="90">
        <f t="shared" si="20"/>
        <v>0</v>
      </c>
      <c r="H36" s="52">
        <f>F36</f>
        <v>0</v>
      </c>
      <c r="I36" s="90">
        <f t="shared" si="21"/>
        <v>0</v>
      </c>
      <c r="J36" s="49">
        <f t="shared" si="33"/>
        <v>0</v>
      </c>
      <c r="K36" s="90">
        <f t="shared" si="22"/>
        <v>0</v>
      </c>
      <c r="L36" s="52">
        <f t="shared" si="26"/>
        <v>0</v>
      </c>
      <c r="M36" s="90">
        <f t="shared" si="28"/>
        <v>0</v>
      </c>
      <c r="N36" s="52">
        <f t="shared" si="34"/>
        <v>0</v>
      </c>
      <c r="O36" s="90">
        <f t="shared" si="23"/>
        <v>0</v>
      </c>
      <c r="P36" s="52">
        <f t="shared" ref="P36:P40" si="35">L36</f>
        <v>0</v>
      </c>
      <c r="Q36" s="90">
        <f t="shared" si="24"/>
        <v>0</v>
      </c>
      <c r="R36" s="27"/>
    </row>
    <row r="37" spans="1:18" ht="15.75" thickBot="1" x14ac:dyDescent="0.3">
      <c r="A37" s="277" t="s">
        <v>677</v>
      </c>
      <c r="B37" s="91"/>
      <c r="C37" s="458" t="s">
        <v>642</v>
      </c>
      <c r="D37" s="459"/>
      <c r="E37" s="52">
        <v>0</v>
      </c>
      <c r="F37" s="52">
        <f t="shared" ref="F37:F40" si="36">E37</f>
        <v>0</v>
      </c>
      <c r="G37" s="92">
        <f t="shared" si="20"/>
        <v>0</v>
      </c>
      <c r="H37" s="52">
        <f t="shared" ref="H37:H40" si="37">F37</f>
        <v>0</v>
      </c>
      <c r="I37" s="92">
        <f t="shared" si="21"/>
        <v>0</v>
      </c>
      <c r="J37" s="49">
        <f t="shared" si="33"/>
        <v>0</v>
      </c>
      <c r="K37" s="92">
        <f t="shared" si="22"/>
        <v>0</v>
      </c>
      <c r="L37" s="52">
        <f t="shared" si="26"/>
        <v>0</v>
      </c>
      <c r="M37" s="92">
        <f t="shared" si="28"/>
        <v>0</v>
      </c>
      <c r="N37" s="52">
        <f t="shared" si="34"/>
        <v>0</v>
      </c>
      <c r="O37" s="92">
        <f t="shared" si="23"/>
        <v>0</v>
      </c>
      <c r="P37" s="52">
        <f t="shared" si="35"/>
        <v>0</v>
      </c>
      <c r="Q37" s="92">
        <f t="shared" si="24"/>
        <v>0</v>
      </c>
      <c r="R37" s="27"/>
    </row>
    <row r="38" spans="1:18" ht="15" customHeight="1" thickBot="1" x14ac:dyDescent="0.3">
      <c r="A38" s="276" t="s">
        <v>677</v>
      </c>
      <c r="B38" s="89"/>
      <c r="C38" s="456" t="s">
        <v>643</v>
      </c>
      <c r="D38" s="457"/>
      <c r="E38" s="52">
        <v>0</v>
      </c>
      <c r="F38" s="52">
        <f t="shared" si="36"/>
        <v>0</v>
      </c>
      <c r="G38" s="90">
        <f t="shared" si="20"/>
        <v>0</v>
      </c>
      <c r="H38" s="52">
        <f t="shared" si="37"/>
        <v>0</v>
      </c>
      <c r="I38" s="90">
        <f t="shared" si="21"/>
        <v>0</v>
      </c>
      <c r="J38" s="49">
        <f t="shared" si="33"/>
        <v>0</v>
      </c>
      <c r="K38" s="90">
        <f t="shared" si="22"/>
        <v>0</v>
      </c>
      <c r="L38" s="52">
        <f t="shared" si="26"/>
        <v>0</v>
      </c>
      <c r="M38" s="90">
        <f t="shared" si="28"/>
        <v>0</v>
      </c>
      <c r="N38" s="52">
        <f t="shared" si="34"/>
        <v>0</v>
      </c>
      <c r="O38" s="90">
        <f t="shared" si="23"/>
        <v>0</v>
      </c>
      <c r="P38" s="52">
        <f t="shared" si="35"/>
        <v>0</v>
      </c>
      <c r="Q38" s="90">
        <f t="shared" si="24"/>
        <v>0</v>
      </c>
      <c r="R38" s="27"/>
    </row>
    <row r="39" spans="1:18" ht="15.75" thickBot="1" x14ac:dyDescent="0.3">
      <c r="A39" s="277" t="s">
        <v>677</v>
      </c>
      <c r="B39" s="91"/>
      <c r="C39" s="458" t="s">
        <v>644</v>
      </c>
      <c r="D39" s="459"/>
      <c r="E39" s="52">
        <v>0</v>
      </c>
      <c r="F39" s="52">
        <f t="shared" si="36"/>
        <v>0</v>
      </c>
      <c r="G39" s="92">
        <f t="shared" si="20"/>
        <v>0</v>
      </c>
      <c r="H39" s="52">
        <f t="shared" si="37"/>
        <v>0</v>
      </c>
      <c r="I39" s="92">
        <f t="shared" si="21"/>
        <v>0</v>
      </c>
      <c r="J39" s="49">
        <f t="shared" si="33"/>
        <v>0</v>
      </c>
      <c r="K39" s="92">
        <f t="shared" si="22"/>
        <v>0</v>
      </c>
      <c r="L39" s="52">
        <f t="shared" si="26"/>
        <v>0</v>
      </c>
      <c r="M39" s="92">
        <f t="shared" si="28"/>
        <v>0</v>
      </c>
      <c r="N39" s="52">
        <f t="shared" si="34"/>
        <v>0</v>
      </c>
      <c r="O39" s="92">
        <f t="shared" si="23"/>
        <v>0</v>
      </c>
      <c r="P39" s="52">
        <f t="shared" si="35"/>
        <v>0</v>
      </c>
      <c r="Q39" s="92">
        <f t="shared" si="24"/>
        <v>0</v>
      </c>
      <c r="R39" s="27"/>
    </row>
    <row r="40" spans="1:18" ht="15.75" thickBot="1" x14ac:dyDescent="0.3">
      <c r="A40" s="276" t="s">
        <v>677</v>
      </c>
      <c r="B40" s="89"/>
      <c r="C40" s="456" t="s">
        <v>645</v>
      </c>
      <c r="D40" s="457"/>
      <c r="E40" s="52">
        <v>0</v>
      </c>
      <c r="F40" s="52">
        <f t="shared" si="36"/>
        <v>0</v>
      </c>
      <c r="G40" s="90">
        <f t="shared" si="20"/>
        <v>0</v>
      </c>
      <c r="H40" s="52">
        <f t="shared" si="37"/>
        <v>0</v>
      </c>
      <c r="I40" s="90">
        <f t="shared" si="21"/>
        <v>0</v>
      </c>
      <c r="J40" s="49">
        <f t="shared" si="33"/>
        <v>0</v>
      </c>
      <c r="K40" s="90">
        <f t="shared" si="22"/>
        <v>0</v>
      </c>
      <c r="L40" s="52">
        <f t="shared" si="26"/>
        <v>0</v>
      </c>
      <c r="M40" s="90">
        <f t="shared" si="28"/>
        <v>0</v>
      </c>
      <c r="N40" s="52">
        <f t="shared" si="34"/>
        <v>0</v>
      </c>
      <c r="O40" s="90">
        <f t="shared" si="23"/>
        <v>0</v>
      </c>
      <c r="P40" s="52">
        <f t="shared" si="35"/>
        <v>0</v>
      </c>
      <c r="Q40" s="90">
        <f t="shared" si="24"/>
        <v>0</v>
      </c>
      <c r="R40" s="27"/>
    </row>
    <row r="41" spans="1:18" ht="15.75" thickBot="1" x14ac:dyDescent="0.3">
      <c r="A41" s="275" t="s">
        <v>677</v>
      </c>
      <c r="B41" s="427" t="s">
        <v>646</v>
      </c>
      <c r="C41" s="427"/>
      <c r="D41" s="427"/>
      <c r="E41" s="86">
        <f>IF(E42=0,SUM(E43:E48),E42)</f>
        <v>0</v>
      </c>
      <c r="F41" s="86">
        <f>IF(F42=0,SUM(F43:F48),F42)</f>
        <v>0</v>
      </c>
      <c r="G41" s="87">
        <f t="shared" si="20"/>
        <v>0</v>
      </c>
      <c r="H41" s="86">
        <f>IF(H42=0,SUM(H43:H48),H42)</f>
        <v>0</v>
      </c>
      <c r="I41" s="87">
        <f t="shared" si="21"/>
        <v>0</v>
      </c>
      <c r="J41" s="86">
        <f>IF(J42=0,SUM(J43:J48),J42)</f>
        <v>0</v>
      </c>
      <c r="K41" s="87">
        <f t="shared" si="22"/>
        <v>0</v>
      </c>
      <c r="L41" s="86">
        <f>IF(L42=0,SUM(L43:L48),L42)</f>
        <v>0</v>
      </c>
      <c r="M41" s="87">
        <f t="shared" si="28"/>
        <v>0</v>
      </c>
      <c r="N41" s="86">
        <f>IF(N42=0,SUM(N43:N48),N42)</f>
        <v>0</v>
      </c>
      <c r="O41" s="87">
        <f t="shared" si="23"/>
        <v>0</v>
      </c>
      <c r="P41" s="86">
        <f>IF(P42=0,SUM(P43:P48),P42)</f>
        <v>0</v>
      </c>
      <c r="Q41" s="87">
        <f t="shared" si="24"/>
        <v>0</v>
      </c>
      <c r="R41" s="42"/>
    </row>
    <row r="42" spans="1:18" ht="15.75" thickBot="1" x14ac:dyDescent="0.3">
      <c r="A42" s="276" t="s">
        <v>718</v>
      </c>
      <c r="B42" s="89"/>
      <c r="C42" s="460" t="str">
        <f>IF(E42&gt;0,Listas!$A$66,Listas!$A$67)</f>
        <v>…</v>
      </c>
      <c r="D42" s="461"/>
      <c r="E42" s="52">
        <v>0</v>
      </c>
      <c r="F42" s="52">
        <f>E42</f>
        <v>0</v>
      </c>
      <c r="G42" s="90">
        <f t="shared" si="20"/>
        <v>0</v>
      </c>
      <c r="H42" s="52">
        <f t="shared" ref="H42:H48" si="38">F42</f>
        <v>0</v>
      </c>
      <c r="I42" s="90">
        <f t="shared" si="21"/>
        <v>0</v>
      </c>
      <c r="J42" s="49">
        <f t="shared" ref="J42:J48" si="39">(E42+F42+H42)/3</f>
        <v>0</v>
      </c>
      <c r="K42" s="90">
        <f t="shared" si="22"/>
        <v>0</v>
      </c>
      <c r="L42" s="52">
        <f t="shared" si="26"/>
        <v>0</v>
      </c>
      <c r="M42" s="90">
        <f t="shared" si="28"/>
        <v>0</v>
      </c>
      <c r="N42" s="52">
        <f t="shared" ref="N42:N48" si="40">J42</f>
        <v>0</v>
      </c>
      <c r="O42" s="90">
        <f t="shared" si="23"/>
        <v>0</v>
      </c>
      <c r="P42" s="52">
        <f>L42</f>
        <v>0</v>
      </c>
      <c r="Q42" s="90">
        <f t="shared" si="24"/>
        <v>0</v>
      </c>
      <c r="R42" s="27"/>
    </row>
    <row r="43" spans="1:18" ht="15" customHeight="1" thickBot="1" x14ac:dyDescent="0.3">
      <c r="A43" s="276" t="s">
        <v>677</v>
      </c>
      <c r="B43" s="89"/>
      <c r="C43" s="456" t="s">
        <v>647</v>
      </c>
      <c r="D43" s="457"/>
      <c r="E43" s="52">
        <v>0</v>
      </c>
      <c r="F43" s="52">
        <f t="shared" ref="F43:F48" si="41">E43</f>
        <v>0</v>
      </c>
      <c r="G43" s="90">
        <f t="shared" si="20"/>
        <v>0</v>
      </c>
      <c r="H43" s="52">
        <f t="shared" si="38"/>
        <v>0</v>
      </c>
      <c r="I43" s="90">
        <f t="shared" si="21"/>
        <v>0</v>
      </c>
      <c r="J43" s="49">
        <f t="shared" si="39"/>
        <v>0</v>
      </c>
      <c r="K43" s="90">
        <f t="shared" si="22"/>
        <v>0</v>
      </c>
      <c r="L43" s="52">
        <f t="shared" si="26"/>
        <v>0</v>
      </c>
      <c r="M43" s="90">
        <f t="shared" si="28"/>
        <v>0</v>
      </c>
      <c r="N43" s="52">
        <f t="shared" si="40"/>
        <v>0</v>
      </c>
      <c r="O43" s="90">
        <f t="shared" si="23"/>
        <v>0</v>
      </c>
      <c r="P43" s="52">
        <f t="shared" ref="P43:P48" si="42">L43</f>
        <v>0</v>
      </c>
      <c r="Q43" s="90">
        <f t="shared" si="24"/>
        <v>0</v>
      </c>
      <c r="R43" s="27"/>
    </row>
    <row r="44" spans="1:18" ht="15.75" thickBot="1" x14ac:dyDescent="0.3">
      <c r="A44" s="277" t="s">
        <v>677</v>
      </c>
      <c r="B44" s="91"/>
      <c r="C44" s="458" t="s">
        <v>648</v>
      </c>
      <c r="D44" s="459"/>
      <c r="E44" s="52">
        <v>0</v>
      </c>
      <c r="F44" s="52">
        <f t="shared" si="41"/>
        <v>0</v>
      </c>
      <c r="G44" s="92">
        <f t="shared" si="20"/>
        <v>0</v>
      </c>
      <c r="H44" s="52">
        <f t="shared" si="38"/>
        <v>0</v>
      </c>
      <c r="I44" s="92">
        <f t="shared" si="21"/>
        <v>0</v>
      </c>
      <c r="J44" s="49">
        <f t="shared" si="39"/>
        <v>0</v>
      </c>
      <c r="K44" s="92">
        <f t="shared" si="22"/>
        <v>0</v>
      </c>
      <c r="L44" s="52">
        <f t="shared" si="26"/>
        <v>0</v>
      </c>
      <c r="M44" s="92">
        <f t="shared" si="28"/>
        <v>0</v>
      </c>
      <c r="N44" s="52">
        <f t="shared" si="40"/>
        <v>0</v>
      </c>
      <c r="O44" s="92">
        <f t="shared" si="23"/>
        <v>0</v>
      </c>
      <c r="P44" s="52">
        <f t="shared" si="42"/>
        <v>0</v>
      </c>
      <c r="Q44" s="92">
        <f t="shared" si="24"/>
        <v>0</v>
      </c>
      <c r="R44" s="27"/>
    </row>
    <row r="45" spans="1:18" ht="15.75" thickBot="1" x14ac:dyDescent="0.3">
      <c r="A45" s="276" t="s">
        <v>677</v>
      </c>
      <c r="B45" s="89"/>
      <c r="C45" s="456" t="s">
        <v>649</v>
      </c>
      <c r="D45" s="457"/>
      <c r="E45" s="52">
        <v>0</v>
      </c>
      <c r="F45" s="52">
        <f t="shared" si="41"/>
        <v>0</v>
      </c>
      <c r="G45" s="90">
        <f t="shared" si="20"/>
        <v>0</v>
      </c>
      <c r="H45" s="52">
        <f t="shared" si="38"/>
        <v>0</v>
      </c>
      <c r="I45" s="90">
        <f t="shared" si="21"/>
        <v>0</v>
      </c>
      <c r="J45" s="49">
        <f t="shared" si="39"/>
        <v>0</v>
      </c>
      <c r="K45" s="90">
        <f t="shared" si="22"/>
        <v>0</v>
      </c>
      <c r="L45" s="52">
        <f t="shared" si="26"/>
        <v>0</v>
      </c>
      <c r="M45" s="90">
        <f t="shared" si="28"/>
        <v>0</v>
      </c>
      <c r="N45" s="52">
        <f t="shared" si="40"/>
        <v>0</v>
      </c>
      <c r="O45" s="90">
        <f t="shared" si="23"/>
        <v>0</v>
      </c>
      <c r="P45" s="52">
        <f t="shared" si="42"/>
        <v>0</v>
      </c>
      <c r="Q45" s="90">
        <f t="shared" si="24"/>
        <v>0</v>
      </c>
      <c r="R45" s="27"/>
    </row>
    <row r="46" spans="1:18" ht="15" customHeight="1" thickBot="1" x14ac:dyDescent="0.3">
      <c r="A46" s="277" t="s">
        <v>677</v>
      </c>
      <c r="B46" s="91"/>
      <c r="C46" s="458" t="s">
        <v>650</v>
      </c>
      <c r="D46" s="459"/>
      <c r="E46" s="52">
        <v>0</v>
      </c>
      <c r="F46" s="52">
        <f t="shared" si="41"/>
        <v>0</v>
      </c>
      <c r="G46" s="92">
        <f t="shared" si="20"/>
        <v>0</v>
      </c>
      <c r="H46" s="52">
        <f t="shared" si="38"/>
        <v>0</v>
      </c>
      <c r="I46" s="92">
        <f t="shared" si="21"/>
        <v>0</v>
      </c>
      <c r="J46" s="49">
        <f t="shared" si="39"/>
        <v>0</v>
      </c>
      <c r="K46" s="92">
        <f t="shared" si="22"/>
        <v>0</v>
      </c>
      <c r="L46" s="52">
        <f t="shared" si="26"/>
        <v>0</v>
      </c>
      <c r="M46" s="92">
        <f t="shared" si="28"/>
        <v>0</v>
      </c>
      <c r="N46" s="52">
        <f t="shared" si="40"/>
        <v>0</v>
      </c>
      <c r="O46" s="92">
        <f t="shared" si="23"/>
        <v>0</v>
      </c>
      <c r="P46" s="52">
        <f t="shared" si="42"/>
        <v>0</v>
      </c>
      <c r="Q46" s="92">
        <f t="shared" si="24"/>
        <v>0</v>
      </c>
      <c r="R46" s="27"/>
    </row>
    <row r="47" spans="1:18" ht="15.75" thickBot="1" x14ac:dyDescent="0.3">
      <c r="A47" s="276" t="s">
        <v>677</v>
      </c>
      <c r="B47" s="89"/>
      <c r="C47" s="456" t="s">
        <v>651</v>
      </c>
      <c r="D47" s="457"/>
      <c r="E47" s="52">
        <v>0</v>
      </c>
      <c r="F47" s="52">
        <f t="shared" si="41"/>
        <v>0</v>
      </c>
      <c r="G47" s="90">
        <f t="shared" si="20"/>
        <v>0</v>
      </c>
      <c r="H47" s="52">
        <f t="shared" si="38"/>
        <v>0</v>
      </c>
      <c r="I47" s="90">
        <f t="shared" si="21"/>
        <v>0</v>
      </c>
      <c r="J47" s="49">
        <f t="shared" si="39"/>
        <v>0</v>
      </c>
      <c r="K47" s="90">
        <f t="shared" si="22"/>
        <v>0</v>
      </c>
      <c r="L47" s="52">
        <f t="shared" si="26"/>
        <v>0</v>
      </c>
      <c r="M47" s="90">
        <f t="shared" si="28"/>
        <v>0</v>
      </c>
      <c r="N47" s="52">
        <f t="shared" si="40"/>
        <v>0</v>
      </c>
      <c r="O47" s="90">
        <f t="shared" si="23"/>
        <v>0</v>
      </c>
      <c r="P47" s="52">
        <f t="shared" si="42"/>
        <v>0</v>
      </c>
      <c r="Q47" s="90">
        <f t="shared" si="24"/>
        <v>0</v>
      </c>
      <c r="R47" s="27"/>
    </row>
    <row r="48" spans="1:18" ht="15.75" thickBot="1" x14ac:dyDescent="0.3">
      <c r="A48" s="277" t="s">
        <v>677</v>
      </c>
      <c r="B48" s="91"/>
      <c r="C48" s="458" t="s">
        <v>633</v>
      </c>
      <c r="D48" s="459"/>
      <c r="E48" s="52">
        <v>0</v>
      </c>
      <c r="F48" s="52">
        <f t="shared" si="41"/>
        <v>0</v>
      </c>
      <c r="G48" s="92">
        <f t="shared" si="20"/>
        <v>0</v>
      </c>
      <c r="H48" s="52">
        <f t="shared" si="38"/>
        <v>0</v>
      </c>
      <c r="I48" s="92">
        <f t="shared" si="21"/>
        <v>0</v>
      </c>
      <c r="J48" s="49">
        <f t="shared" si="39"/>
        <v>0</v>
      </c>
      <c r="K48" s="92">
        <f t="shared" si="22"/>
        <v>0</v>
      </c>
      <c r="L48" s="52">
        <f t="shared" si="26"/>
        <v>0</v>
      </c>
      <c r="M48" s="92">
        <f t="shared" si="28"/>
        <v>0</v>
      </c>
      <c r="N48" s="52">
        <f t="shared" si="40"/>
        <v>0</v>
      </c>
      <c r="O48" s="92">
        <f t="shared" si="23"/>
        <v>0</v>
      </c>
      <c r="P48" s="52">
        <f t="shared" si="42"/>
        <v>0</v>
      </c>
      <c r="Q48" s="92">
        <f t="shared" si="24"/>
        <v>0</v>
      </c>
      <c r="R48" s="27"/>
    </row>
    <row r="49" spans="1:18" ht="15.75" thickBot="1" x14ac:dyDescent="0.3">
      <c r="A49" s="275" t="s">
        <v>677</v>
      </c>
      <c r="B49" s="427" t="s">
        <v>672</v>
      </c>
      <c r="C49" s="427"/>
      <c r="D49" s="427"/>
      <c r="E49" s="86">
        <f>SUM(E29,E34,E41)</f>
        <v>0</v>
      </c>
      <c r="F49" s="86">
        <f>SUM(F29,F34,F41)</f>
        <v>0</v>
      </c>
      <c r="G49" s="87">
        <f t="shared" si="20"/>
        <v>0</v>
      </c>
      <c r="H49" s="86">
        <f>SUM(H29,H34,H41)</f>
        <v>0</v>
      </c>
      <c r="I49" s="87">
        <f t="shared" si="21"/>
        <v>0</v>
      </c>
      <c r="J49" s="86">
        <f>SUM(J29,J34,J41)</f>
        <v>0</v>
      </c>
      <c r="K49" s="87">
        <f t="shared" si="22"/>
        <v>0</v>
      </c>
      <c r="L49" s="86">
        <f>SUM(L29,L34,L41)</f>
        <v>0</v>
      </c>
      <c r="M49" s="87">
        <f t="shared" si="28"/>
        <v>0</v>
      </c>
      <c r="N49" s="86">
        <f>SUM(N29,N34,N41)</f>
        <v>0</v>
      </c>
      <c r="O49" s="87">
        <f t="shared" si="23"/>
        <v>0</v>
      </c>
      <c r="P49" s="86">
        <f>SUM(P29,P34,P41)</f>
        <v>0</v>
      </c>
      <c r="Q49" s="87">
        <f t="shared" si="24"/>
        <v>0</v>
      </c>
      <c r="R49" s="42"/>
    </row>
    <row r="50" spans="1:18" ht="16.5" thickBot="1" x14ac:dyDescent="0.3">
      <c r="A50" s="274" t="s">
        <v>678</v>
      </c>
      <c r="B50" s="108" t="s">
        <v>673</v>
      </c>
      <c r="C50" s="109"/>
      <c r="D50" s="109"/>
      <c r="E50" s="110">
        <f>E28</f>
        <v>2015</v>
      </c>
      <c r="F50" s="462">
        <f>F28</f>
        <v>2016</v>
      </c>
      <c r="G50" s="462"/>
      <c r="H50" s="462">
        <f>H28</f>
        <v>2017</v>
      </c>
      <c r="I50" s="462"/>
      <c r="J50" s="124" t="str">
        <f>J28</f>
        <v>Media 3 años</v>
      </c>
      <c r="K50" s="125" t="str">
        <f>K28</f>
        <v>%DER</v>
      </c>
      <c r="L50" s="110">
        <f>L28</f>
        <v>2018</v>
      </c>
      <c r="M50" s="110"/>
      <c r="N50" s="110">
        <f>N28</f>
        <v>2019</v>
      </c>
      <c r="O50" s="110"/>
      <c r="P50" s="462">
        <f>P28</f>
        <v>2020</v>
      </c>
      <c r="Q50" s="462"/>
      <c r="R50" s="27"/>
    </row>
    <row r="51" spans="1:18" ht="15.75" thickBot="1" x14ac:dyDescent="0.3">
      <c r="A51" s="275" t="s">
        <v>678</v>
      </c>
      <c r="B51" s="427" t="s">
        <v>652</v>
      </c>
      <c r="C51" s="427"/>
      <c r="D51" s="427"/>
      <c r="E51" s="126">
        <f>E52+E53</f>
        <v>0</v>
      </c>
      <c r="F51" s="126">
        <f>F52+F53</f>
        <v>0</v>
      </c>
      <c r="G51" s="111">
        <f>IF(ISNUMBER(+F51/E51-1),+F51/E51-1,0)</f>
        <v>0</v>
      </c>
      <c r="H51" s="126">
        <f>H52+H53</f>
        <v>0</v>
      </c>
      <c r="I51" s="111">
        <f>IF(ISNUMBER(+H51/F51-1),+H51/F51-1,0)</f>
        <v>0</v>
      </c>
      <c r="J51" s="126">
        <f>J52+J53</f>
        <v>0</v>
      </c>
      <c r="K51" s="111">
        <f t="shared" ref="K51:K77" si="43">IFERROR(STDEV(E51,F51,H51)/AVERAGE(E51,F51,H51),0)</f>
        <v>0</v>
      </c>
      <c r="L51" s="126">
        <f>L52+L53</f>
        <v>0</v>
      </c>
      <c r="M51" s="111">
        <f t="shared" si="28"/>
        <v>0</v>
      </c>
      <c r="N51" s="126">
        <f>N52+N53</f>
        <v>0</v>
      </c>
      <c r="O51" s="111">
        <f t="shared" ref="O51:O77" si="44">IF(ISNUMBER(+N51/L51-1),+N51/L51-1,0)</f>
        <v>0</v>
      </c>
      <c r="P51" s="126">
        <f>P52+P53</f>
        <v>0</v>
      </c>
      <c r="Q51" s="111">
        <f t="shared" ref="Q51:Q77" si="45">IF(ISNUMBER(+P51/L51-1),+P51/L51-1,0)</f>
        <v>0</v>
      </c>
      <c r="R51" s="27"/>
    </row>
    <row r="52" spans="1:18" ht="15.75" thickBot="1" x14ac:dyDescent="0.3">
      <c r="A52" s="276" t="s">
        <v>678</v>
      </c>
      <c r="B52" s="89"/>
      <c r="C52" s="456" t="s">
        <v>675</v>
      </c>
      <c r="D52" s="457"/>
      <c r="E52" s="52">
        <v>0</v>
      </c>
      <c r="F52" s="52">
        <f t="shared" ref="F52:F53" si="46">E52</f>
        <v>0</v>
      </c>
      <c r="G52" s="90">
        <f t="shared" ref="G52:G77" si="47">IF(ISNUMBER(+F52/E52-1),+F52/E52-1,0)</f>
        <v>0</v>
      </c>
      <c r="H52" s="52">
        <f t="shared" ref="H52:H53" si="48">F52</f>
        <v>0</v>
      </c>
      <c r="I52" s="90">
        <f t="shared" ref="I52:I77" si="49">IF(ISNUMBER(+H52/F52-1),+H52/F52-1,0)</f>
        <v>0</v>
      </c>
      <c r="J52" s="49">
        <f>(E52+F52+H52)/3</f>
        <v>0</v>
      </c>
      <c r="K52" s="90">
        <f t="shared" si="43"/>
        <v>0</v>
      </c>
      <c r="L52" s="52">
        <f>H52</f>
        <v>0</v>
      </c>
      <c r="M52" s="90">
        <f t="shared" si="28"/>
        <v>0</v>
      </c>
      <c r="N52" s="52">
        <f>J52</f>
        <v>0</v>
      </c>
      <c r="O52" s="90">
        <f t="shared" si="44"/>
        <v>0</v>
      </c>
      <c r="P52" s="52">
        <f>L52</f>
        <v>0</v>
      </c>
      <c r="Q52" s="90">
        <f t="shared" si="45"/>
        <v>0</v>
      </c>
      <c r="R52" s="27"/>
    </row>
    <row r="53" spans="1:18" ht="15.75" thickBot="1" x14ac:dyDescent="0.3">
      <c r="A53" s="277" t="s">
        <v>678</v>
      </c>
      <c r="B53" s="91"/>
      <c r="C53" s="458" t="s">
        <v>674</v>
      </c>
      <c r="D53" s="459"/>
      <c r="E53" s="52">
        <v>0</v>
      </c>
      <c r="F53" s="52">
        <f t="shared" si="46"/>
        <v>0</v>
      </c>
      <c r="G53" s="92">
        <f t="shared" si="47"/>
        <v>0</v>
      </c>
      <c r="H53" s="52">
        <f t="shared" si="48"/>
        <v>0</v>
      </c>
      <c r="I53" s="92">
        <f t="shared" si="49"/>
        <v>0</v>
      </c>
      <c r="J53" s="49">
        <f>(E53+F53+H53)/3</f>
        <v>0</v>
      </c>
      <c r="K53" s="92">
        <f t="shared" si="43"/>
        <v>0</v>
      </c>
      <c r="L53" s="52">
        <f>H53</f>
        <v>0</v>
      </c>
      <c r="M53" s="92">
        <f t="shared" si="28"/>
        <v>0</v>
      </c>
      <c r="N53" s="52">
        <f>J53</f>
        <v>0</v>
      </c>
      <c r="O53" s="92">
        <f t="shared" si="44"/>
        <v>0</v>
      </c>
      <c r="P53" s="52">
        <f t="shared" ref="P53" si="50">L53</f>
        <v>0</v>
      </c>
      <c r="Q53" s="92">
        <f t="shared" si="45"/>
        <v>0</v>
      </c>
      <c r="R53" s="27"/>
    </row>
    <row r="54" spans="1:18" ht="15.75" thickBot="1" x14ac:dyDescent="0.3">
      <c r="A54" s="275" t="s">
        <v>678</v>
      </c>
      <c r="B54" s="427" t="s">
        <v>653</v>
      </c>
      <c r="C54" s="427"/>
      <c r="D54" s="427"/>
      <c r="E54" s="126">
        <f>+E55+E56+E57+E58</f>
        <v>0</v>
      </c>
      <c r="F54" s="126">
        <f>+F55+F56+F57+F58</f>
        <v>0</v>
      </c>
      <c r="G54" s="111">
        <f t="shared" si="47"/>
        <v>0</v>
      </c>
      <c r="H54" s="126">
        <f>+H55+H56+H57+H58</f>
        <v>0</v>
      </c>
      <c r="I54" s="111">
        <f t="shared" si="49"/>
        <v>0</v>
      </c>
      <c r="J54" s="126">
        <f>+J55+J56+J57+J58</f>
        <v>0</v>
      </c>
      <c r="K54" s="111">
        <f t="shared" si="43"/>
        <v>0</v>
      </c>
      <c r="L54" s="126">
        <f>+L55+L56+L57+L58</f>
        <v>0</v>
      </c>
      <c r="M54" s="111">
        <f t="shared" si="28"/>
        <v>0</v>
      </c>
      <c r="N54" s="126">
        <f>+N55+N56+N57+N58</f>
        <v>0</v>
      </c>
      <c r="O54" s="111">
        <f t="shared" si="44"/>
        <v>0</v>
      </c>
      <c r="P54" s="126">
        <f>+P55+P56+P57+P58</f>
        <v>0</v>
      </c>
      <c r="Q54" s="111">
        <f t="shared" si="45"/>
        <v>0</v>
      </c>
      <c r="R54" s="27"/>
    </row>
    <row r="55" spans="1:18" ht="15.75" thickBot="1" x14ac:dyDescent="0.3">
      <c r="A55" s="276" t="s">
        <v>678</v>
      </c>
      <c r="B55" s="89"/>
      <c r="C55" s="456" t="s">
        <v>654</v>
      </c>
      <c r="D55" s="457"/>
      <c r="E55" s="52">
        <v>0</v>
      </c>
      <c r="F55" s="52">
        <f t="shared" ref="F55:F58" si="51">E55</f>
        <v>0</v>
      </c>
      <c r="G55" s="90">
        <f t="shared" si="47"/>
        <v>0</v>
      </c>
      <c r="H55" s="52">
        <f t="shared" ref="H55:H76" si="52">F55</f>
        <v>0</v>
      </c>
      <c r="I55" s="90">
        <f t="shared" si="49"/>
        <v>0</v>
      </c>
      <c r="J55" s="49">
        <f>(E55+F55+H55)/3</f>
        <v>0</v>
      </c>
      <c r="K55" s="90">
        <f t="shared" si="43"/>
        <v>0</v>
      </c>
      <c r="L55" s="52">
        <f>H55</f>
        <v>0</v>
      </c>
      <c r="M55" s="90">
        <f t="shared" si="28"/>
        <v>0</v>
      </c>
      <c r="N55" s="52">
        <f>J55</f>
        <v>0</v>
      </c>
      <c r="O55" s="90">
        <f t="shared" si="44"/>
        <v>0</v>
      </c>
      <c r="P55" s="52">
        <f t="shared" ref="P55:P58" si="53">L55</f>
        <v>0</v>
      </c>
      <c r="Q55" s="90">
        <f t="shared" si="45"/>
        <v>0</v>
      </c>
      <c r="R55" s="27"/>
    </row>
    <row r="56" spans="1:18" ht="15.75" thickBot="1" x14ac:dyDescent="0.3">
      <c r="A56" s="277" t="s">
        <v>678</v>
      </c>
      <c r="B56" s="91"/>
      <c r="C56" s="458" t="s">
        <v>655</v>
      </c>
      <c r="D56" s="459"/>
      <c r="E56" s="52">
        <v>0</v>
      </c>
      <c r="F56" s="52">
        <f t="shared" si="51"/>
        <v>0</v>
      </c>
      <c r="G56" s="92">
        <f t="shared" si="47"/>
        <v>0</v>
      </c>
      <c r="H56" s="52">
        <f t="shared" si="52"/>
        <v>0</v>
      </c>
      <c r="I56" s="92">
        <f t="shared" si="49"/>
        <v>0</v>
      </c>
      <c r="J56" s="49">
        <f>(E56+F56+H56)/3</f>
        <v>0</v>
      </c>
      <c r="K56" s="92">
        <f t="shared" si="43"/>
        <v>0</v>
      </c>
      <c r="L56" s="52">
        <f>H56</f>
        <v>0</v>
      </c>
      <c r="M56" s="92">
        <f t="shared" si="28"/>
        <v>0</v>
      </c>
      <c r="N56" s="52">
        <f>J56</f>
        <v>0</v>
      </c>
      <c r="O56" s="92">
        <f t="shared" si="44"/>
        <v>0</v>
      </c>
      <c r="P56" s="52">
        <f t="shared" si="53"/>
        <v>0</v>
      </c>
      <c r="Q56" s="92">
        <f t="shared" si="45"/>
        <v>0</v>
      </c>
      <c r="R56" s="27"/>
    </row>
    <row r="57" spans="1:18" ht="15.75" thickBot="1" x14ac:dyDescent="0.3">
      <c r="A57" s="276" t="s">
        <v>678</v>
      </c>
      <c r="B57" s="89"/>
      <c r="C57" s="456" t="s">
        <v>656</v>
      </c>
      <c r="D57" s="457"/>
      <c r="E57" s="52">
        <v>0</v>
      </c>
      <c r="F57" s="52">
        <f t="shared" si="51"/>
        <v>0</v>
      </c>
      <c r="G57" s="90">
        <f t="shared" si="47"/>
        <v>0</v>
      </c>
      <c r="H57" s="52">
        <f t="shared" si="52"/>
        <v>0</v>
      </c>
      <c r="I57" s="90">
        <f t="shared" si="49"/>
        <v>0</v>
      </c>
      <c r="J57" s="49">
        <f>(E57+F57+H57)/3</f>
        <v>0</v>
      </c>
      <c r="K57" s="90">
        <f t="shared" si="43"/>
        <v>0</v>
      </c>
      <c r="L57" s="52">
        <f>H57</f>
        <v>0</v>
      </c>
      <c r="M57" s="90">
        <f t="shared" si="28"/>
        <v>0</v>
      </c>
      <c r="N57" s="52">
        <f>J57</f>
        <v>0</v>
      </c>
      <c r="O57" s="90">
        <f t="shared" si="44"/>
        <v>0</v>
      </c>
      <c r="P57" s="52">
        <f t="shared" si="53"/>
        <v>0</v>
      </c>
      <c r="Q57" s="90">
        <f t="shared" si="45"/>
        <v>0</v>
      </c>
      <c r="R57" s="27"/>
    </row>
    <row r="58" spans="1:18" ht="15.75" thickBot="1" x14ac:dyDescent="0.3">
      <c r="A58" s="277" t="s">
        <v>678</v>
      </c>
      <c r="B58" s="91"/>
      <c r="C58" s="458" t="s">
        <v>657</v>
      </c>
      <c r="D58" s="459"/>
      <c r="E58" s="52">
        <v>0</v>
      </c>
      <c r="F58" s="52">
        <f t="shared" si="51"/>
        <v>0</v>
      </c>
      <c r="G58" s="92">
        <f t="shared" si="47"/>
        <v>0</v>
      </c>
      <c r="H58" s="52">
        <f t="shared" si="52"/>
        <v>0</v>
      </c>
      <c r="I58" s="92">
        <f t="shared" si="49"/>
        <v>0</v>
      </c>
      <c r="J58" s="49">
        <f>(E58+F58+H58)/3</f>
        <v>0</v>
      </c>
      <c r="K58" s="92">
        <f t="shared" si="43"/>
        <v>0</v>
      </c>
      <c r="L58" s="52">
        <f>J58</f>
        <v>0</v>
      </c>
      <c r="M58" s="92">
        <f t="shared" si="28"/>
        <v>0</v>
      </c>
      <c r="N58" s="52">
        <f>L58</f>
        <v>0</v>
      </c>
      <c r="O58" s="92">
        <f t="shared" si="44"/>
        <v>0</v>
      </c>
      <c r="P58" s="52">
        <f t="shared" si="53"/>
        <v>0</v>
      </c>
      <c r="Q58" s="92">
        <f t="shared" si="45"/>
        <v>0</v>
      </c>
      <c r="R58" s="27"/>
    </row>
    <row r="59" spans="1:18" ht="15.75" thickBot="1" x14ac:dyDescent="0.3">
      <c r="A59" s="275" t="s">
        <v>678</v>
      </c>
      <c r="B59" s="427" t="s">
        <v>658</v>
      </c>
      <c r="C59" s="427"/>
      <c r="D59" s="427"/>
      <c r="E59" s="126">
        <f>E51-E54</f>
        <v>0</v>
      </c>
      <c r="F59" s="126">
        <f>F51-F54</f>
        <v>0</v>
      </c>
      <c r="G59" s="111">
        <f t="shared" si="47"/>
        <v>0</v>
      </c>
      <c r="H59" s="126">
        <f>H51-H54</f>
        <v>0</v>
      </c>
      <c r="I59" s="111">
        <f t="shared" si="49"/>
        <v>0</v>
      </c>
      <c r="J59" s="126">
        <f>J51-J54</f>
        <v>0</v>
      </c>
      <c r="K59" s="111">
        <f t="shared" si="43"/>
        <v>0</v>
      </c>
      <c r="L59" s="126">
        <f>L51-L54</f>
        <v>0</v>
      </c>
      <c r="M59" s="111">
        <f t="shared" si="28"/>
        <v>0</v>
      </c>
      <c r="N59" s="126">
        <f>N51-N54</f>
        <v>0</v>
      </c>
      <c r="O59" s="111">
        <f t="shared" si="44"/>
        <v>0</v>
      </c>
      <c r="P59" s="126">
        <f>P51-P54</f>
        <v>0</v>
      </c>
      <c r="Q59" s="111">
        <f t="shared" si="45"/>
        <v>0</v>
      </c>
      <c r="R59" s="27"/>
    </row>
    <row r="60" spans="1:18" ht="15.75" thickBot="1" x14ac:dyDescent="0.3">
      <c r="A60" s="276" t="s">
        <v>678</v>
      </c>
      <c r="B60" s="89"/>
      <c r="C60" s="456" t="s">
        <v>659</v>
      </c>
      <c r="D60" s="457"/>
      <c r="E60" s="52">
        <v>0</v>
      </c>
      <c r="F60" s="52">
        <f t="shared" ref="F60:F62" si="54">E60</f>
        <v>0</v>
      </c>
      <c r="G60" s="90">
        <f t="shared" si="47"/>
        <v>0</v>
      </c>
      <c r="H60" s="52">
        <f t="shared" si="52"/>
        <v>0</v>
      </c>
      <c r="I60" s="90">
        <f t="shared" si="49"/>
        <v>0</v>
      </c>
      <c r="J60" s="49">
        <f>(E60+F60+H60)/3</f>
        <v>0</v>
      </c>
      <c r="K60" s="90">
        <f t="shared" si="43"/>
        <v>0</v>
      </c>
      <c r="L60" s="52">
        <f>J60</f>
        <v>0</v>
      </c>
      <c r="M60" s="90">
        <f t="shared" si="28"/>
        <v>0</v>
      </c>
      <c r="N60" s="52">
        <f>L60</f>
        <v>0</v>
      </c>
      <c r="O60" s="90">
        <f t="shared" si="44"/>
        <v>0</v>
      </c>
      <c r="P60" s="52">
        <f t="shared" ref="P60:P62" si="55">L60</f>
        <v>0</v>
      </c>
      <c r="Q60" s="90">
        <f t="shared" si="45"/>
        <v>0</v>
      </c>
      <c r="R60" s="27"/>
    </row>
    <row r="61" spans="1:18" ht="15.75" thickBot="1" x14ac:dyDescent="0.3">
      <c r="A61" s="277" t="s">
        <v>678</v>
      </c>
      <c r="B61" s="91"/>
      <c r="C61" s="458" t="s">
        <v>679</v>
      </c>
      <c r="D61" s="459"/>
      <c r="E61" s="52">
        <v>0</v>
      </c>
      <c r="F61" s="52">
        <f t="shared" si="54"/>
        <v>0</v>
      </c>
      <c r="G61" s="92">
        <f t="shared" si="47"/>
        <v>0</v>
      </c>
      <c r="H61" s="52">
        <f t="shared" si="52"/>
        <v>0</v>
      </c>
      <c r="I61" s="92">
        <f t="shared" si="49"/>
        <v>0</v>
      </c>
      <c r="J61" s="49">
        <f>(E61+F61+H61)/3</f>
        <v>0</v>
      </c>
      <c r="K61" s="92">
        <f t="shared" si="43"/>
        <v>0</v>
      </c>
      <c r="L61" s="52">
        <f>J61</f>
        <v>0</v>
      </c>
      <c r="M61" s="92">
        <f t="shared" si="28"/>
        <v>0</v>
      </c>
      <c r="N61" s="52">
        <f>L61</f>
        <v>0</v>
      </c>
      <c r="O61" s="92">
        <f t="shared" si="44"/>
        <v>0</v>
      </c>
      <c r="P61" s="52">
        <f t="shared" si="55"/>
        <v>0</v>
      </c>
      <c r="Q61" s="92">
        <f t="shared" si="45"/>
        <v>0</v>
      </c>
      <c r="R61" s="27"/>
    </row>
    <row r="62" spans="1:18" ht="15.75" thickBot="1" x14ac:dyDescent="0.3">
      <c r="A62" s="276" t="s">
        <v>678</v>
      </c>
      <c r="B62" s="89"/>
      <c r="C62" s="456" t="s">
        <v>680</v>
      </c>
      <c r="D62" s="457"/>
      <c r="E62" s="52">
        <v>0</v>
      </c>
      <c r="F62" s="52">
        <f t="shared" si="54"/>
        <v>0</v>
      </c>
      <c r="G62" s="90">
        <f t="shared" si="47"/>
        <v>0</v>
      </c>
      <c r="H62" s="52">
        <f t="shared" si="52"/>
        <v>0</v>
      </c>
      <c r="I62" s="90">
        <f t="shared" si="49"/>
        <v>0</v>
      </c>
      <c r="J62" s="49">
        <f>(E62+F62+H62)/3</f>
        <v>0</v>
      </c>
      <c r="K62" s="90">
        <f t="shared" si="43"/>
        <v>0</v>
      </c>
      <c r="L62" s="52">
        <f>J62</f>
        <v>0</v>
      </c>
      <c r="M62" s="90">
        <f t="shared" si="28"/>
        <v>0</v>
      </c>
      <c r="N62" s="52">
        <f>J62</f>
        <v>0</v>
      </c>
      <c r="O62" s="90">
        <f t="shared" si="44"/>
        <v>0</v>
      </c>
      <c r="P62" s="52">
        <f t="shared" si="55"/>
        <v>0</v>
      </c>
      <c r="Q62" s="90">
        <f t="shared" si="45"/>
        <v>0</v>
      </c>
      <c r="R62" s="27"/>
    </row>
    <row r="63" spans="1:18" ht="15.75" thickBot="1" x14ac:dyDescent="0.3">
      <c r="A63" s="275" t="s">
        <v>678</v>
      </c>
      <c r="B63" s="427" t="s">
        <v>797</v>
      </c>
      <c r="C63" s="427"/>
      <c r="D63" s="427"/>
      <c r="E63" s="126">
        <f>E59-E60+E61-E62</f>
        <v>0</v>
      </c>
      <c r="F63" s="126">
        <f>F59-F60+F61-F62</f>
        <v>0</v>
      </c>
      <c r="G63" s="111">
        <f t="shared" si="47"/>
        <v>0</v>
      </c>
      <c r="H63" s="126">
        <f>H59-H60+H61-H62</f>
        <v>0</v>
      </c>
      <c r="I63" s="111">
        <f t="shared" si="49"/>
        <v>0</v>
      </c>
      <c r="J63" s="126">
        <f>J59-J60+J61-J62</f>
        <v>0</v>
      </c>
      <c r="K63" s="111">
        <f t="shared" si="43"/>
        <v>0</v>
      </c>
      <c r="L63" s="126">
        <f>L59-L60+L61-L62</f>
        <v>0</v>
      </c>
      <c r="M63" s="111">
        <f t="shared" si="28"/>
        <v>0</v>
      </c>
      <c r="N63" s="126">
        <f>N59-N60+N61-N62</f>
        <v>0</v>
      </c>
      <c r="O63" s="111">
        <f t="shared" si="44"/>
        <v>0</v>
      </c>
      <c r="P63" s="126">
        <f>P59-P60+P61-P62</f>
        <v>0</v>
      </c>
      <c r="Q63" s="111">
        <f t="shared" si="45"/>
        <v>0</v>
      </c>
      <c r="R63" s="27"/>
    </row>
    <row r="64" spans="1:18" ht="15.75" thickBot="1" x14ac:dyDescent="0.3">
      <c r="A64" s="276" t="s">
        <v>678</v>
      </c>
      <c r="B64" s="89"/>
      <c r="C64" s="456" t="s">
        <v>660</v>
      </c>
      <c r="D64" s="457"/>
      <c r="E64" s="52">
        <v>0</v>
      </c>
      <c r="F64" s="52">
        <f t="shared" ref="F64:F66" si="56">E64</f>
        <v>0</v>
      </c>
      <c r="G64" s="90">
        <f t="shared" si="47"/>
        <v>0</v>
      </c>
      <c r="H64" s="52">
        <f t="shared" si="52"/>
        <v>0</v>
      </c>
      <c r="I64" s="90">
        <f t="shared" si="49"/>
        <v>0</v>
      </c>
      <c r="J64" s="49">
        <f>(E64+F64+H64)/3</f>
        <v>0</v>
      </c>
      <c r="K64" s="90">
        <f t="shared" si="43"/>
        <v>0</v>
      </c>
      <c r="L64" s="52">
        <f>J64</f>
        <v>0</v>
      </c>
      <c r="M64" s="90">
        <f t="shared" si="28"/>
        <v>0</v>
      </c>
      <c r="N64" s="52">
        <f>J64</f>
        <v>0</v>
      </c>
      <c r="O64" s="90">
        <f t="shared" si="44"/>
        <v>0</v>
      </c>
      <c r="P64" s="52">
        <f t="shared" ref="P64:P66" si="57">L64</f>
        <v>0</v>
      </c>
      <c r="Q64" s="90">
        <f t="shared" si="45"/>
        <v>0</v>
      </c>
      <c r="R64" s="27"/>
    </row>
    <row r="65" spans="1:18" ht="15.75" thickBot="1" x14ac:dyDescent="0.3">
      <c r="A65" s="277" t="s">
        <v>678</v>
      </c>
      <c r="B65" s="91"/>
      <c r="C65" s="458" t="s">
        <v>661</v>
      </c>
      <c r="D65" s="459"/>
      <c r="E65" s="52">
        <v>0</v>
      </c>
      <c r="F65" s="52">
        <f t="shared" si="56"/>
        <v>0</v>
      </c>
      <c r="G65" s="92">
        <f t="shared" si="47"/>
        <v>0</v>
      </c>
      <c r="H65" s="52">
        <f t="shared" si="52"/>
        <v>0</v>
      </c>
      <c r="I65" s="92">
        <f t="shared" si="49"/>
        <v>0</v>
      </c>
      <c r="J65" s="49">
        <f>(E65+F65+H65)/3</f>
        <v>0</v>
      </c>
      <c r="K65" s="92">
        <f t="shared" si="43"/>
        <v>0</v>
      </c>
      <c r="L65" s="52">
        <f>J65</f>
        <v>0</v>
      </c>
      <c r="M65" s="92">
        <f t="shared" si="28"/>
        <v>0</v>
      </c>
      <c r="N65" s="52">
        <f>J65</f>
        <v>0</v>
      </c>
      <c r="O65" s="92">
        <f t="shared" si="44"/>
        <v>0</v>
      </c>
      <c r="P65" s="52">
        <f t="shared" si="57"/>
        <v>0</v>
      </c>
      <c r="Q65" s="92">
        <f t="shared" si="45"/>
        <v>0</v>
      </c>
      <c r="R65" s="27"/>
    </row>
    <row r="66" spans="1:18" ht="15" customHeight="1" thickBot="1" x14ac:dyDescent="0.3">
      <c r="A66" s="276" t="s">
        <v>678</v>
      </c>
      <c r="B66" s="89"/>
      <c r="C66" s="456" t="s">
        <v>662</v>
      </c>
      <c r="D66" s="457"/>
      <c r="E66" s="52">
        <v>0</v>
      </c>
      <c r="F66" s="52">
        <f t="shared" si="56"/>
        <v>0</v>
      </c>
      <c r="G66" s="90">
        <f t="shared" si="47"/>
        <v>0</v>
      </c>
      <c r="H66" s="52">
        <f t="shared" si="52"/>
        <v>0</v>
      </c>
      <c r="I66" s="90">
        <f t="shared" si="49"/>
        <v>0</v>
      </c>
      <c r="J66" s="49">
        <f>(E66+F66+H66)/3</f>
        <v>0</v>
      </c>
      <c r="K66" s="90">
        <f t="shared" si="43"/>
        <v>0</v>
      </c>
      <c r="L66" s="52">
        <f>J66</f>
        <v>0</v>
      </c>
      <c r="M66" s="90">
        <f t="shared" si="28"/>
        <v>0</v>
      </c>
      <c r="N66" s="52">
        <f>J66</f>
        <v>0</v>
      </c>
      <c r="O66" s="90">
        <f t="shared" si="44"/>
        <v>0</v>
      </c>
      <c r="P66" s="52">
        <f t="shared" si="57"/>
        <v>0</v>
      </c>
      <c r="Q66" s="90">
        <f t="shared" si="45"/>
        <v>0</v>
      </c>
      <c r="R66" s="27"/>
    </row>
    <row r="67" spans="1:18" ht="15.75" thickBot="1" x14ac:dyDescent="0.3">
      <c r="A67" s="275" t="s">
        <v>678</v>
      </c>
      <c r="B67" s="427" t="s">
        <v>798</v>
      </c>
      <c r="C67" s="427"/>
      <c r="D67" s="427"/>
      <c r="E67" s="126">
        <f>E63-E64+E65-E66</f>
        <v>0</v>
      </c>
      <c r="F67" s="126">
        <f>F63-F64+F65-F66</f>
        <v>0</v>
      </c>
      <c r="G67" s="111">
        <f t="shared" si="47"/>
        <v>0</v>
      </c>
      <c r="H67" s="126">
        <f>H63-H64+H65-H66</f>
        <v>0</v>
      </c>
      <c r="I67" s="111">
        <f t="shared" si="49"/>
        <v>0</v>
      </c>
      <c r="J67" s="126">
        <f>J63-J64+J65-J66</f>
        <v>0</v>
      </c>
      <c r="K67" s="111">
        <f t="shared" si="43"/>
        <v>0</v>
      </c>
      <c r="L67" s="126">
        <f>L63-L64+L65-L66</f>
        <v>0</v>
      </c>
      <c r="M67" s="111">
        <f t="shared" si="28"/>
        <v>0</v>
      </c>
      <c r="N67" s="126">
        <f>N63-N64+N65-N66</f>
        <v>0</v>
      </c>
      <c r="O67" s="111">
        <f t="shared" si="44"/>
        <v>0</v>
      </c>
      <c r="P67" s="126">
        <f>P63-P64+P65-P66</f>
        <v>0</v>
      </c>
      <c r="Q67" s="111">
        <f t="shared" si="45"/>
        <v>0</v>
      </c>
      <c r="R67" s="27"/>
    </row>
    <row r="68" spans="1:18" ht="15.75" thickBot="1" x14ac:dyDescent="0.3">
      <c r="A68" s="276" t="s">
        <v>678</v>
      </c>
      <c r="B68" s="89"/>
      <c r="C68" s="456" t="s">
        <v>663</v>
      </c>
      <c r="D68" s="457"/>
      <c r="E68" s="52">
        <v>0</v>
      </c>
      <c r="F68" s="52">
        <f t="shared" ref="F68:F73" si="58">E68</f>
        <v>0</v>
      </c>
      <c r="G68" s="90">
        <f t="shared" si="47"/>
        <v>0</v>
      </c>
      <c r="H68" s="52">
        <f t="shared" si="52"/>
        <v>0</v>
      </c>
      <c r="I68" s="90">
        <f t="shared" si="49"/>
        <v>0</v>
      </c>
      <c r="J68" s="49">
        <f t="shared" ref="J68:J73" si="59">(E68+F68+H68)/3</f>
        <v>0</v>
      </c>
      <c r="K68" s="90">
        <f t="shared" si="43"/>
        <v>0</v>
      </c>
      <c r="L68" s="52">
        <f t="shared" ref="L68:L73" si="60">J68</f>
        <v>0</v>
      </c>
      <c r="M68" s="90">
        <f t="shared" si="28"/>
        <v>0</v>
      </c>
      <c r="N68" s="52">
        <f t="shared" ref="N68:N73" si="61">J68</f>
        <v>0</v>
      </c>
      <c r="O68" s="90">
        <f t="shared" si="44"/>
        <v>0</v>
      </c>
      <c r="P68" s="52">
        <f t="shared" ref="P68:P73" si="62">L68</f>
        <v>0</v>
      </c>
      <c r="Q68" s="90">
        <f t="shared" si="45"/>
        <v>0</v>
      </c>
      <c r="R68" s="27"/>
    </row>
    <row r="69" spans="1:18" ht="15.75" thickBot="1" x14ac:dyDescent="0.3">
      <c r="A69" s="277" t="s">
        <v>678</v>
      </c>
      <c r="B69" s="91"/>
      <c r="C69" s="458" t="s">
        <v>664</v>
      </c>
      <c r="D69" s="459"/>
      <c r="E69" s="52">
        <v>0</v>
      </c>
      <c r="F69" s="52">
        <f t="shared" si="58"/>
        <v>0</v>
      </c>
      <c r="G69" s="92">
        <f t="shared" si="47"/>
        <v>0</v>
      </c>
      <c r="H69" s="52">
        <f t="shared" si="52"/>
        <v>0</v>
      </c>
      <c r="I69" s="92">
        <f t="shared" si="49"/>
        <v>0</v>
      </c>
      <c r="J69" s="49">
        <f t="shared" si="59"/>
        <v>0</v>
      </c>
      <c r="K69" s="92">
        <f t="shared" si="43"/>
        <v>0</v>
      </c>
      <c r="L69" s="52">
        <f t="shared" si="60"/>
        <v>0</v>
      </c>
      <c r="M69" s="92">
        <f t="shared" si="28"/>
        <v>0</v>
      </c>
      <c r="N69" s="52">
        <f t="shared" si="61"/>
        <v>0</v>
      </c>
      <c r="O69" s="92">
        <f t="shared" si="44"/>
        <v>0</v>
      </c>
      <c r="P69" s="52">
        <f t="shared" si="62"/>
        <v>0</v>
      </c>
      <c r="Q69" s="92">
        <f t="shared" si="45"/>
        <v>0</v>
      </c>
      <c r="R69" s="27"/>
    </row>
    <row r="70" spans="1:18" ht="15" customHeight="1" thickBot="1" x14ac:dyDescent="0.3">
      <c r="A70" s="276" t="s">
        <v>678</v>
      </c>
      <c r="B70" s="89"/>
      <c r="C70" s="456" t="s">
        <v>665</v>
      </c>
      <c r="D70" s="457"/>
      <c r="E70" s="52">
        <v>0</v>
      </c>
      <c r="F70" s="52">
        <f t="shared" si="58"/>
        <v>0</v>
      </c>
      <c r="G70" s="90">
        <f t="shared" si="47"/>
        <v>0</v>
      </c>
      <c r="H70" s="52">
        <f t="shared" si="52"/>
        <v>0</v>
      </c>
      <c r="I70" s="90">
        <f t="shared" si="49"/>
        <v>0</v>
      </c>
      <c r="J70" s="49">
        <f t="shared" si="59"/>
        <v>0</v>
      </c>
      <c r="K70" s="90">
        <f t="shared" si="43"/>
        <v>0</v>
      </c>
      <c r="L70" s="52">
        <f t="shared" si="60"/>
        <v>0</v>
      </c>
      <c r="M70" s="90">
        <f t="shared" si="28"/>
        <v>0</v>
      </c>
      <c r="N70" s="52">
        <f t="shared" si="61"/>
        <v>0</v>
      </c>
      <c r="O70" s="90">
        <f t="shared" si="44"/>
        <v>0</v>
      </c>
      <c r="P70" s="52">
        <f t="shared" si="62"/>
        <v>0</v>
      </c>
      <c r="Q70" s="90">
        <f t="shared" si="45"/>
        <v>0</v>
      </c>
      <c r="R70" s="27"/>
    </row>
    <row r="71" spans="1:18" ht="15.75" thickBot="1" x14ac:dyDescent="0.3">
      <c r="A71" s="277" t="s">
        <v>678</v>
      </c>
      <c r="B71" s="91"/>
      <c r="C71" s="456" t="s">
        <v>666</v>
      </c>
      <c r="D71" s="457"/>
      <c r="E71" s="52">
        <v>0</v>
      </c>
      <c r="F71" s="52">
        <f t="shared" si="58"/>
        <v>0</v>
      </c>
      <c r="G71" s="92">
        <f t="shared" si="47"/>
        <v>0</v>
      </c>
      <c r="H71" s="52">
        <f t="shared" si="52"/>
        <v>0</v>
      </c>
      <c r="I71" s="92">
        <f t="shared" si="49"/>
        <v>0</v>
      </c>
      <c r="J71" s="49">
        <f t="shared" si="59"/>
        <v>0</v>
      </c>
      <c r="K71" s="92">
        <f t="shared" si="43"/>
        <v>0</v>
      </c>
      <c r="L71" s="52">
        <f t="shared" si="60"/>
        <v>0</v>
      </c>
      <c r="M71" s="92">
        <f t="shared" si="28"/>
        <v>0</v>
      </c>
      <c r="N71" s="52">
        <f t="shared" si="61"/>
        <v>0</v>
      </c>
      <c r="O71" s="92">
        <f t="shared" si="44"/>
        <v>0</v>
      </c>
      <c r="P71" s="52">
        <f t="shared" si="62"/>
        <v>0</v>
      </c>
      <c r="Q71" s="92">
        <f t="shared" si="45"/>
        <v>0</v>
      </c>
      <c r="R71" s="27"/>
    </row>
    <row r="72" spans="1:18" ht="15.75" thickBot="1" x14ac:dyDescent="0.3">
      <c r="A72" s="276" t="s">
        <v>678</v>
      </c>
      <c r="B72" s="89"/>
      <c r="C72" s="458" t="s">
        <v>667</v>
      </c>
      <c r="D72" s="459"/>
      <c r="E72" s="52">
        <v>0</v>
      </c>
      <c r="F72" s="52">
        <f t="shared" si="58"/>
        <v>0</v>
      </c>
      <c r="G72" s="90">
        <f t="shared" si="47"/>
        <v>0</v>
      </c>
      <c r="H72" s="52">
        <f t="shared" si="52"/>
        <v>0</v>
      </c>
      <c r="I72" s="90">
        <f t="shared" si="49"/>
        <v>0</v>
      </c>
      <c r="J72" s="49">
        <f t="shared" si="59"/>
        <v>0</v>
      </c>
      <c r="K72" s="90">
        <f t="shared" si="43"/>
        <v>0</v>
      </c>
      <c r="L72" s="52">
        <f t="shared" si="60"/>
        <v>0</v>
      </c>
      <c r="M72" s="90">
        <f t="shared" si="28"/>
        <v>0</v>
      </c>
      <c r="N72" s="52">
        <f t="shared" si="61"/>
        <v>0</v>
      </c>
      <c r="O72" s="90">
        <f t="shared" si="44"/>
        <v>0</v>
      </c>
      <c r="P72" s="52">
        <f t="shared" si="62"/>
        <v>0</v>
      </c>
      <c r="Q72" s="90">
        <f t="shared" si="45"/>
        <v>0</v>
      </c>
      <c r="R72" s="27"/>
    </row>
    <row r="73" spans="1:18" ht="15.75" thickBot="1" x14ac:dyDescent="0.3">
      <c r="A73" s="277" t="s">
        <v>678</v>
      </c>
      <c r="B73" s="91"/>
      <c r="C73" s="456" t="s">
        <v>668</v>
      </c>
      <c r="D73" s="457"/>
      <c r="E73" s="52">
        <v>0</v>
      </c>
      <c r="F73" s="52">
        <f t="shared" si="58"/>
        <v>0</v>
      </c>
      <c r="G73" s="92">
        <f t="shared" si="47"/>
        <v>0</v>
      </c>
      <c r="H73" s="52">
        <f t="shared" si="52"/>
        <v>0</v>
      </c>
      <c r="I73" s="92">
        <f t="shared" si="49"/>
        <v>0</v>
      </c>
      <c r="J73" s="49">
        <f t="shared" si="59"/>
        <v>0</v>
      </c>
      <c r="K73" s="92">
        <f t="shared" si="43"/>
        <v>0</v>
      </c>
      <c r="L73" s="52">
        <f t="shared" si="60"/>
        <v>0</v>
      </c>
      <c r="M73" s="92">
        <f t="shared" si="28"/>
        <v>0</v>
      </c>
      <c r="N73" s="52">
        <f t="shared" si="61"/>
        <v>0</v>
      </c>
      <c r="O73" s="92">
        <f t="shared" si="44"/>
        <v>0</v>
      </c>
      <c r="P73" s="52">
        <f t="shared" si="62"/>
        <v>0</v>
      </c>
      <c r="Q73" s="92">
        <f t="shared" si="45"/>
        <v>0</v>
      </c>
      <c r="R73" s="27"/>
    </row>
    <row r="74" spans="1:18" ht="15.75" thickBot="1" x14ac:dyDescent="0.3">
      <c r="A74" s="275" t="s">
        <v>678</v>
      </c>
      <c r="B74" s="427" t="s">
        <v>780</v>
      </c>
      <c r="C74" s="427"/>
      <c r="D74" s="427"/>
      <c r="E74" s="126">
        <f>E67+E68-E69+E70+E71+E72+E73</f>
        <v>0</v>
      </c>
      <c r="F74" s="126">
        <f>F67+F68-F69+F70+F71+F72+F73</f>
        <v>0</v>
      </c>
      <c r="G74" s="111">
        <f t="shared" si="47"/>
        <v>0</v>
      </c>
      <c r="H74" s="126">
        <f>H67+H68-H69+H70+H71+H72+H73</f>
        <v>0</v>
      </c>
      <c r="I74" s="111">
        <f t="shared" si="49"/>
        <v>0</v>
      </c>
      <c r="J74" s="126">
        <f>J67+J68-J69+J70+J71+J72+J73</f>
        <v>0</v>
      </c>
      <c r="K74" s="111">
        <f t="shared" si="43"/>
        <v>0</v>
      </c>
      <c r="L74" s="126">
        <f>L67+L68-L69+L70+L71+L72+L73</f>
        <v>0</v>
      </c>
      <c r="M74" s="111">
        <f t="shared" si="28"/>
        <v>0</v>
      </c>
      <c r="N74" s="126">
        <f>N67+N68-N69+N70+N71+N72+N73</f>
        <v>0</v>
      </c>
      <c r="O74" s="111">
        <f t="shared" si="44"/>
        <v>0</v>
      </c>
      <c r="P74" s="126">
        <f>P67+P68-P69+P70+P71+P72+P73</f>
        <v>0</v>
      </c>
      <c r="Q74" s="111">
        <f t="shared" si="45"/>
        <v>0</v>
      </c>
      <c r="R74" s="27"/>
    </row>
    <row r="75" spans="1:18" ht="15.75" thickBot="1" x14ac:dyDescent="0.3">
      <c r="A75" s="276" t="s">
        <v>678</v>
      </c>
      <c r="B75" s="89"/>
      <c r="C75" s="456" t="s">
        <v>669</v>
      </c>
      <c r="D75" s="457"/>
      <c r="E75" s="52">
        <v>0</v>
      </c>
      <c r="F75" s="52">
        <f t="shared" ref="F75:F76" si="63">E75</f>
        <v>0</v>
      </c>
      <c r="G75" s="90">
        <f t="shared" si="47"/>
        <v>0</v>
      </c>
      <c r="H75" s="52">
        <f t="shared" si="52"/>
        <v>0</v>
      </c>
      <c r="I75" s="90">
        <f t="shared" si="49"/>
        <v>0</v>
      </c>
      <c r="J75" s="49">
        <f>(E75+F75+H75)/3</f>
        <v>0</v>
      </c>
      <c r="K75" s="90">
        <f t="shared" si="43"/>
        <v>0</v>
      </c>
      <c r="L75" s="52">
        <f>J75</f>
        <v>0</v>
      </c>
      <c r="M75" s="90">
        <f t="shared" si="28"/>
        <v>0</v>
      </c>
      <c r="N75" s="52">
        <f>J75</f>
        <v>0</v>
      </c>
      <c r="O75" s="90">
        <f t="shared" si="44"/>
        <v>0</v>
      </c>
      <c r="P75" s="52">
        <f t="shared" ref="P75:P76" si="64">L75</f>
        <v>0</v>
      </c>
      <c r="Q75" s="90">
        <f t="shared" si="45"/>
        <v>0</v>
      </c>
      <c r="R75" s="27"/>
    </row>
    <row r="76" spans="1:18" ht="15.75" thickBot="1" x14ac:dyDescent="0.3">
      <c r="A76" s="277" t="s">
        <v>678</v>
      </c>
      <c r="B76" s="91"/>
      <c r="C76" s="117" t="s">
        <v>799</v>
      </c>
      <c r="D76" s="118"/>
      <c r="E76" s="52">
        <v>0</v>
      </c>
      <c r="F76" s="52">
        <f t="shared" si="63"/>
        <v>0</v>
      </c>
      <c r="G76" s="92">
        <f t="shared" si="47"/>
        <v>0</v>
      </c>
      <c r="H76" s="52">
        <f t="shared" si="52"/>
        <v>0</v>
      </c>
      <c r="I76" s="92">
        <f t="shared" si="49"/>
        <v>0</v>
      </c>
      <c r="J76" s="49">
        <f>(E76+F76+H76)/3</f>
        <v>0</v>
      </c>
      <c r="K76" s="92">
        <f t="shared" si="43"/>
        <v>0</v>
      </c>
      <c r="L76" s="52">
        <f>J76</f>
        <v>0</v>
      </c>
      <c r="M76" s="92">
        <f t="shared" si="28"/>
        <v>0</v>
      </c>
      <c r="N76" s="52">
        <f>J76</f>
        <v>0</v>
      </c>
      <c r="O76" s="92">
        <f t="shared" si="44"/>
        <v>0</v>
      </c>
      <c r="P76" s="52">
        <f t="shared" si="64"/>
        <v>0</v>
      </c>
      <c r="Q76" s="92">
        <f t="shared" si="45"/>
        <v>0</v>
      </c>
      <c r="R76" s="27"/>
    </row>
    <row r="77" spans="1:18" ht="15.75" thickBot="1" x14ac:dyDescent="0.3">
      <c r="A77" s="290" t="s">
        <v>678</v>
      </c>
      <c r="B77" s="467" t="s">
        <v>670</v>
      </c>
      <c r="C77" s="467"/>
      <c r="D77" s="467"/>
      <c r="E77" s="324">
        <f>E74-E75+E76</f>
        <v>0</v>
      </c>
      <c r="F77" s="324">
        <f>F74-F75+F76</f>
        <v>0</v>
      </c>
      <c r="G77" s="325">
        <f t="shared" si="47"/>
        <v>0</v>
      </c>
      <c r="H77" s="324">
        <f>H74-H75+H76</f>
        <v>0</v>
      </c>
      <c r="I77" s="325">
        <f t="shared" si="49"/>
        <v>0</v>
      </c>
      <c r="J77" s="324">
        <f>J74-J75+J76</f>
        <v>0</v>
      </c>
      <c r="K77" s="325">
        <f t="shared" si="43"/>
        <v>0</v>
      </c>
      <c r="L77" s="324">
        <f>L74-L75+L76</f>
        <v>0</v>
      </c>
      <c r="M77" s="392">
        <f t="shared" si="28"/>
        <v>0</v>
      </c>
      <c r="N77" s="324">
        <f>N74-N75+N76</f>
        <v>0</v>
      </c>
      <c r="O77" s="325">
        <f t="shared" si="44"/>
        <v>0</v>
      </c>
      <c r="P77" s="324">
        <f>P74-P75+P76</f>
        <v>0</v>
      </c>
      <c r="Q77" s="325">
        <f t="shared" si="45"/>
        <v>0</v>
      </c>
      <c r="R77" s="127"/>
    </row>
    <row r="78" spans="1:18" ht="16.5" thickBot="1" x14ac:dyDescent="0.3">
      <c r="A78" s="339" t="s">
        <v>688</v>
      </c>
      <c r="B78" s="340" t="s">
        <v>686</v>
      </c>
      <c r="C78" s="341"/>
      <c r="D78" s="341"/>
      <c r="E78" s="342">
        <f>E50</f>
        <v>2015</v>
      </c>
      <c r="F78" s="342">
        <f>F50</f>
        <v>2016</v>
      </c>
      <c r="G78" s="343"/>
      <c r="H78" s="342">
        <f>H50</f>
        <v>2017</v>
      </c>
      <c r="I78" s="343"/>
      <c r="J78" s="342" t="str">
        <f>J50</f>
        <v>Media 3 años</v>
      </c>
      <c r="K78" s="343"/>
      <c r="L78" s="342">
        <f>L50</f>
        <v>2018</v>
      </c>
      <c r="M78" s="343"/>
      <c r="N78" s="342">
        <f>N50</f>
        <v>2019</v>
      </c>
      <c r="O78" s="343"/>
      <c r="P78" s="342">
        <f>P50</f>
        <v>2020</v>
      </c>
      <c r="Q78" s="343"/>
      <c r="R78" s="27"/>
    </row>
    <row r="79" spans="1:18" ht="15.75" thickBot="1" x14ac:dyDescent="0.3">
      <c r="A79" s="275" t="s">
        <v>688</v>
      </c>
      <c r="B79" s="427" t="s">
        <v>690</v>
      </c>
      <c r="C79" s="427"/>
      <c r="D79" s="427"/>
      <c r="E79" s="126">
        <f>IFERROR(E80/E81,0)</f>
        <v>0</v>
      </c>
      <c r="F79" s="126">
        <f>IFERROR(F80/F81,0)</f>
        <v>0</v>
      </c>
      <c r="G79" s="111">
        <f>IF(ISNUMBER(+F79/E79-1),+F79/E79-1,0)</f>
        <v>0</v>
      </c>
      <c r="H79" s="126">
        <f>IFERROR(H80/H81,0)</f>
        <v>0</v>
      </c>
      <c r="I79" s="111">
        <f>IF(ISNUMBER(+H79/F79-1),+H79/F79-1,0)</f>
        <v>0</v>
      </c>
      <c r="J79" s="308">
        <f>IFERROR(J80/J81,0)</f>
        <v>0</v>
      </c>
      <c r="K79" s="87">
        <f t="shared" ref="K79:K93" si="65">IFERROR(STDEV(E79,F79,H79)/AVERAGE(E79,F79,H79),0)</f>
        <v>0</v>
      </c>
      <c r="L79" s="126">
        <f>IFERROR(L80/L81,0)</f>
        <v>0</v>
      </c>
      <c r="M79" s="111">
        <f t="shared" si="28"/>
        <v>0</v>
      </c>
      <c r="N79" s="126">
        <f>IFERROR(N80/N81,0)</f>
        <v>0</v>
      </c>
      <c r="O79" s="111">
        <f t="shared" ref="O79:O93" si="66">IF(ISNUMBER(+N79/L79-1),+N79/L79-1,0)</f>
        <v>0</v>
      </c>
      <c r="P79" s="126">
        <f>IFERROR(P80/P81,0)</f>
        <v>0</v>
      </c>
      <c r="Q79" s="111">
        <f t="shared" ref="Q79:Q93" si="67">IF(ISNUMBER(+P79/L79-1),+P79/L79-1,0)</f>
        <v>0</v>
      </c>
      <c r="R79" s="27"/>
    </row>
    <row r="80" spans="1:18" ht="15.75" thickBot="1" x14ac:dyDescent="0.3">
      <c r="A80" s="276" t="s">
        <v>688</v>
      </c>
      <c r="B80" s="89"/>
      <c r="C80" s="456" t="s">
        <v>800</v>
      </c>
      <c r="D80" s="475"/>
      <c r="E80" s="313">
        <f>E51</f>
        <v>0</v>
      </c>
      <c r="F80" s="313">
        <f>F51</f>
        <v>0</v>
      </c>
      <c r="G80" s="315">
        <f t="shared" ref="G80:G84" si="68">IF(ISNUMBER(+F80/E80-1),+F80/E80-1,0)</f>
        <v>0</v>
      </c>
      <c r="H80" s="313">
        <f>H51</f>
        <v>0</v>
      </c>
      <c r="I80" s="315">
        <f t="shared" ref="I80:I84" si="69">IF(ISNUMBER(+H80/F80-1),+H80/F80-1,0)</f>
        <v>0</v>
      </c>
      <c r="J80" s="316">
        <f t="shared" ref="J80:J81" si="70">(E80+F80+H80)/3</f>
        <v>0</v>
      </c>
      <c r="K80" s="317">
        <f t="shared" si="65"/>
        <v>0</v>
      </c>
      <c r="L80" s="313">
        <f>L51</f>
        <v>0</v>
      </c>
      <c r="M80" s="315">
        <f t="shared" si="28"/>
        <v>0</v>
      </c>
      <c r="N80" s="313">
        <f>N51</f>
        <v>0</v>
      </c>
      <c r="O80" s="315">
        <f t="shared" si="66"/>
        <v>0</v>
      </c>
      <c r="P80" s="313">
        <f>P51</f>
        <v>0</v>
      </c>
      <c r="Q80" s="315">
        <f t="shared" si="67"/>
        <v>0</v>
      </c>
      <c r="R80" s="27"/>
    </row>
    <row r="81" spans="1:18" ht="15.75" thickBot="1" x14ac:dyDescent="0.3">
      <c r="A81" s="277" t="s">
        <v>688</v>
      </c>
      <c r="B81" s="91"/>
      <c r="C81" s="458" t="s">
        <v>689</v>
      </c>
      <c r="D81" s="468"/>
      <c r="E81" s="312">
        <f>E80-E77</f>
        <v>0</v>
      </c>
      <c r="F81" s="312">
        <f>F80-F77</f>
        <v>0</v>
      </c>
      <c r="G81" s="314">
        <f t="shared" si="68"/>
        <v>0</v>
      </c>
      <c r="H81" s="312">
        <f>H80-H77</f>
        <v>0</v>
      </c>
      <c r="I81" s="314">
        <f t="shared" si="69"/>
        <v>0</v>
      </c>
      <c r="J81" s="318">
        <f t="shared" si="70"/>
        <v>0</v>
      </c>
      <c r="K81" s="319">
        <f t="shared" si="65"/>
        <v>0</v>
      </c>
      <c r="L81" s="312">
        <f>L80-L77</f>
        <v>0</v>
      </c>
      <c r="M81" s="314">
        <f t="shared" si="28"/>
        <v>0</v>
      </c>
      <c r="N81" s="312">
        <f>N80-N77</f>
        <v>0</v>
      </c>
      <c r="O81" s="314">
        <f t="shared" si="66"/>
        <v>0</v>
      </c>
      <c r="P81" s="312">
        <f>P80-P77</f>
        <v>0</v>
      </c>
      <c r="Q81" s="314">
        <f t="shared" si="67"/>
        <v>0</v>
      </c>
      <c r="R81" s="27"/>
    </row>
    <row r="82" spans="1:18" ht="15.75" thickBot="1" x14ac:dyDescent="0.3">
      <c r="A82" s="275" t="s">
        <v>688</v>
      </c>
      <c r="B82" s="427" t="s">
        <v>691</v>
      </c>
      <c r="C82" s="427"/>
      <c r="D82" s="427"/>
      <c r="E82" s="126">
        <f>IFERROR(E83/E84,0)</f>
        <v>0</v>
      </c>
      <c r="F82" s="126">
        <f>IFERROR(F83/F84,0)</f>
        <v>0</v>
      </c>
      <c r="G82" s="111">
        <f t="shared" si="68"/>
        <v>0</v>
      </c>
      <c r="H82" s="126">
        <f>IFERROR(H83/H84,0)</f>
        <v>0</v>
      </c>
      <c r="I82" s="111">
        <f t="shared" si="69"/>
        <v>0</v>
      </c>
      <c r="J82" s="308">
        <f>IFERROR(J83/J84,0)</f>
        <v>0</v>
      </c>
      <c r="K82" s="87">
        <f t="shared" si="65"/>
        <v>0</v>
      </c>
      <c r="L82" s="126">
        <f>IFERROR(L83/L84,0)</f>
        <v>0</v>
      </c>
      <c r="M82" s="111">
        <f t="shared" si="28"/>
        <v>0</v>
      </c>
      <c r="N82" s="126">
        <f>IFERROR(N83/N84,0)</f>
        <v>0</v>
      </c>
      <c r="O82" s="111">
        <f t="shared" si="66"/>
        <v>0</v>
      </c>
      <c r="P82" s="126">
        <f>IFERROR(P83/P84,0)</f>
        <v>0</v>
      </c>
      <c r="Q82" s="111">
        <f t="shared" si="67"/>
        <v>0</v>
      </c>
      <c r="R82" s="27"/>
    </row>
    <row r="83" spans="1:18" ht="15.75" thickBot="1" x14ac:dyDescent="0.3">
      <c r="A83" s="276" t="s">
        <v>688</v>
      </c>
      <c r="B83" s="89"/>
      <c r="C83" s="456" t="s">
        <v>694</v>
      </c>
      <c r="D83" s="457"/>
      <c r="E83" s="313">
        <f>E18</f>
        <v>0</v>
      </c>
      <c r="F83" s="313">
        <f>F18</f>
        <v>0</v>
      </c>
      <c r="G83" s="315">
        <f t="shared" si="68"/>
        <v>0</v>
      </c>
      <c r="H83" s="313">
        <f>H18</f>
        <v>0</v>
      </c>
      <c r="I83" s="315">
        <f t="shared" si="69"/>
        <v>0</v>
      </c>
      <c r="J83" s="316">
        <f t="shared" ref="J83:J84" si="71">(E83+F83+H83)/3</f>
        <v>0</v>
      </c>
      <c r="K83" s="317">
        <f t="shared" si="65"/>
        <v>0</v>
      </c>
      <c r="L83" s="313">
        <f>L18</f>
        <v>0</v>
      </c>
      <c r="M83" s="315">
        <f t="shared" si="28"/>
        <v>0</v>
      </c>
      <c r="N83" s="313">
        <f>N18</f>
        <v>0</v>
      </c>
      <c r="O83" s="315">
        <f t="shared" si="66"/>
        <v>0</v>
      </c>
      <c r="P83" s="313">
        <f>P18</f>
        <v>0</v>
      </c>
      <c r="Q83" s="315">
        <f t="shared" si="67"/>
        <v>0</v>
      </c>
      <c r="R83" s="27"/>
    </row>
    <row r="84" spans="1:18" ht="15.75" thickBot="1" x14ac:dyDescent="0.3">
      <c r="A84" s="277" t="s">
        <v>688</v>
      </c>
      <c r="B84" s="91"/>
      <c r="C84" s="458" t="s">
        <v>695</v>
      </c>
      <c r="D84" s="459"/>
      <c r="E84" s="312">
        <f>E41</f>
        <v>0</v>
      </c>
      <c r="F84" s="312">
        <f>F41</f>
        <v>0</v>
      </c>
      <c r="G84" s="314">
        <f t="shared" si="68"/>
        <v>0</v>
      </c>
      <c r="H84" s="312">
        <f>H41</f>
        <v>0</v>
      </c>
      <c r="I84" s="314">
        <f t="shared" si="69"/>
        <v>0</v>
      </c>
      <c r="J84" s="318">
        <f t="shared" si="71"/>
        <v>0</v>
      </c>
      <c r="K84" s="319">
        <f t="shared" si="65"/>
        <v>0</v>
      </c>
      <c r="L84" s="312">
        <f>L41</f>
        <v>0</v>
      </c>
      <c r="M84" s="314">
        <f t="shared" si="28"/>
        <v>0</v>
      </c>
      <c r="N84" s="312">
        <f>N41</f>
        <v>0</v>
      </c>
      <c r="O84" s="314">
        <f t="shared" si="66"/>
        <v>0</v>
      </c>
      <c r="P84" s="312">
        <f>P41</f>
        <v>0</v>
      </c>
      <c r="Q84" s="314">
        <f t="shared" si="67"/>
        <v>0</v>
      </c>
      <c r="R84" s="27"/>
    </row>
    <row r="85" spans="1:18" ht="15.75" thickBot="1" x14ac:dyDescent="0.3">
      <c r="A85" s="275" t="s">
        <v>688</v>
      </c>
      <c r="B85" s="427" t="s">
        <v>692</v>
      </c>
      <c r="C85" s="427"/>
      <c r="D85" s="427"/>
      <c r="E85" s="126">
        <f>IFERROR(E86/E87,0)</f>
        <v>0</v>
      </c>
      <c r="F85" s="126">
        <f>IFERROR(F86/F87,0)</f>
        <v>0</v>
      </c>
      <c r="G85" s="111">
        <f t="shared" ref="G85:G87" si="72">IF(ISNUMBER(+F85/E85-1),+F85/E85-1,0)</f>
        <v>0</v>
      </c>
      <c r="H85" s="126">
        <f>IFERROR(H86/H87,0)</f>
        <v>0</v>
      </c>
      <c r="I85" s="111">
        <f t="shared" ref="I85:I87" si="73">IF(ISNUMBER(+H85/F85-1),+H85/F85-1,0)</f>
        <v>0</v>
      </c>
      <c r="J85" s="308">
        <f>IFERROR(J86/J87,2)</f>
        <v>2</v>
      </c>
      <c r="K85" s="87">
        <f t="shared" si="65"/>
        <v>0</v>
      </c>
      <c r="L85" s="126">
        <f>IFERROR(L86/L87,0)</f>
        <v>0</v>
      </c>
      <c r="M85" s="111">
        <f t="shared" si="28"/>
        <v>0</v>
      </c>
      <c r="N85" s="126">
        <f>IFERROR(N86/N87,0)</f>
        <v>0</v>
      </c>
      <c r="O85" s="111">
        <f t="shared" si="66"/>
        <v>0</v>
      </c>
      <c r="P85" s="126">
        <f>IFERROR(P86/P87,0)</f>
        <v>0</v>
      </c>
      <c r="Q85" s="111">
        <f t="shared" si="67"/>
        <v>0</v>
      </c>
      <c r="R85" s="27"/>
    </row>
    <row r="86" spans="1:18" ht="15.75" thickBot="1" x14ac:dyDescent="0.3">
      <c r="A86" s="276" t="s">
        <v>688</v>
      </c>
      <c r="B86" s="89"/>
      <c r="C86" s="456" t="s">
        <v>696</v>
      </c>
      <c r="D86" s="457"/>
      <c r="E86" s="313">
        <f>E34</f>
        <v>0</v>
      </c>
      <c r="F86" s="313">
        <f>F34</f>
        <v>0</v>
      </c>
      <c r="G86" s="315">
        <f t="shared" si="72"/>
        <v>0</v>
      </c>
      <c r="H86" s="313">
        <f>H34</f>
        <v>0</v>
      </c>
      <c r="I86" s="315">
        <f t="shared" si="73"/>
        <v>0</v>
      </c>
      <c r="J86" s="316">
        <f t="shared" ref="J86:J87" si="74">(E86+F86+H86)/3</f>
        <v>0</v>
      </c>
      <c r="K86" s="317">
        <f t="shared" si="65"/>
        <v>0</v>
      </c>
      <c r="L86" s="313">
        <f>L34</f>
        <v>0</v>
      </c>
      <c r="M86" s="315">
        <f t="shared" si="28"/>
        <v>0</v>
      </c>
      <c r="N86" s="313">
        <f>N34</f>
        <v>0</v>
      </c>
      <c r="O86" s="315">
        <f t="shared" si="66"/>
        <v>0</v>
      </c>
      <c r="P86" s="313">
        <f>P34</f>
        <v>0</v>
      </c>
      <c r="Q86" s="315">
        <f t="shared" si="67"/>
        <v>0</v>
      </c>
      <c r="R86" s="27"/>
    </row>
    <row r="87" spans="1:18" ht="15.75" thickBot="1" x14ac:dyDescent="0.3">
      <c r="A87" s="277" t="s">
        <v>688</v>
      </c>
      <c r="B87" s="91"/>
      <c r="C87" s="458" t="s">
        <v>697</v>
      </c>
      <c r="D87" s="459"/>
      <c r="E87" s="312">
        <f>E31</f>
        <v>0</v>
      </c>
      <c r="F87" s="312">
        <f>F31</f>
        <v>0</v>
      </c>
      <c r="G87" s="314">
        <f t="shared" si="72"/>
        <v>0</v>
      </c>
      <c r="H87" s="312">
        <f>H31</f>
        <v>0</v>
      </c>
      <c r="I87" s="314">
        <f t="shared" si="73"/>
        <v>0</v>
      </c>
      <c r="J87" s="318">
        <f t="shared" si="74"/>
        <v>0</v>
      </c>
      <c r="K87" s="319">
        <f t="shared" si="65"/>
        <v>0</v>
      </c>
      <c r="L87" s="312">
        <f>L31</f>
        <v>0</v>
      </c>
      <c r="M87" s="314">
        <f t="shared" si="28"/>
        <v>0</v>
      </c>
      <c r="N87" s="312">
        <f>N31</f>
        <v>0</v>
      </c>
      <c r="O87" s="314">
        <f t="shared" si="66"/>
        <v>0</v>
      </c>
      <c r="P87" s="312">
        <f>P31</f>
        <v>0</v>
      </c>
      <c r="Q87" s="314">
        <f t="shared" si="67"/>
        <v>0</v>
      </c>
      <c r="R87" s="27"/>
    </row>
    <row r="88" spans="1:18" ht="15.75" thickBot="1" x14ac:dyDescent="0.3">
      <c r="A88" s="275" t="s">
        <v>688</v>
      </c>
      <c r="B88" s="427" t="s">
        <v>801</v>
      </c>
      <c r="C88" s="427"/>
      <c r="D88" s="427"/>
      <c r="E88" s="126">
        <f>IFERROR(E89/E90,0)</f>
        <v>0</v>
      </c>
      <c r="F88" s="126">
        <f>IFERROR(F89/F90,0)</f>
        <v>0</v>
      </c>
      <c r="G88" s="111">
        <f t="shared" ref="G88:G90" si="75">IF(ISNUMBER(+F88/E88-1),+F88/E88-1,0)</f>
        <v>0</v>
      </c>
      <c r="H88" s="126">
        <f>IFERROR(H89/H90,0)</f>
        <v>0</v>
      </c>
      <c r="I88" s="111">
        <f t="shared" ref="I88:I90" si="76">IF(ISNUMBER(+H88/F88-1),+H88/F88-1,0)</f>
        <v>0</v>
      </c>
      <c r="J88" s="308">
        <f>IFERROR(J89/J90,0)</f>
        <v>0</v>
      </c>
      <c r="K88" s="87">
        <f t="shared" si="65"/>
        <v>0</v>
      </c>
      <c r="L88" s="126">
        <f>IFERROR(L89/L90,0)</f>
        <v>0</v>
      </c>
      <c r="M88" s="111">
        <f t="shared" si="28"/>
        <v>0</v>
      </c>
      <c r="N88" s="126">
        <f>IFERROR(N89/N90,0)</f>
        <v>0</v>
      </c>
      <c r="O88" s="111">
        <f t="shared" si="66"/>
        <v>0</v>
      </c>
      <c r="P88" s="126">
        <f>IFERROR(P89/P90,0)</f>
        <v>0</v>
      </c>
      <c r="Q88" s="111">
        <f t="shared" si="67"/>
        <v>0</v>
      </c>
      <c r="R88" s="27"/>
    </row>
    <row r="89" spans="1:18" ht="15.75" thickBot="1" x14ac:dyDescent="0.3">
      <c r="A89" s="276" t="s">
        <v>688</v>
      </c>
      <c r="B89" s="89"/>
      <c r="C89" s="456" t="s">
        <v>698</v>
      </c>
      <c r="D89" s="457"/>
      <c r="E89" s="313">
        <f>E74</f>
        <v>0</v>
      </c>
      <c r="F89" s="313">
        <f>F74</f>
        <v>0</v>
      </c>
      <c r="G89" s="315">
        <f t="shared" si="75"/>
        <v>0</v>
      </c>
      <c r="H89" s="313">
        <f>H74</f>
        <v>0</v>
      </c>
      <c r="I89" s="315">
        <f t="shared" si="76"/>
        <v>0</v>
      </c>
      <c r="J89" s="316">
        <f t="shared" ref="J89:J90" si="77">(E89+F89+H89)/3</f>
        <v>0</v>
      </c>
      <c r="K89" s="317">
        <f t="shared" si="65"/>
        <v>0</v>
      </c>
      <c r="L89" s="313">
        <f>L74</f>
        <v>0</v>
      </c>
      <c r="M89" s="315">
        <f t="shared" si="28"/>
        <v>0</v>
      </c>
      <c r="N89" s="313">
        <f>N74</f>
        <v>0</v>
      </c>
      <c r="O89" s="315">
        <f t="shared" si="66"/>
        <v>0</v>
      </c>
      <c r="P89" s="313">
        <f>P74</f>
        <v>0</v>
      </c>
      <c r="Q89" s="315">
        <f t="shared" si="67"/>
        <v>0</v>
      </c>
      <c r="R89" s="27"/>
    </row>
    <row r="90" spans="1:18" ht="15.75" thickBot="1" x14ac:dyDescent="0.3">
      <c r="A90" s="277" t="s">
        <v>688</v>
      </c>
      <c r="B90" s="91"/>
      <c r="C90" s="458" t="s">
        <v>699</v>
      </c>
      <c r="D90" s="459"/>
      <c r="E90" s="312">
        <f>E27</f>
        <v>0</v>
      </c>
      <c r="F90" s="312">
        <f>F27</f>
        <v>0</v>
      </c>
      <c r="G90" s="314">
        <f t="shared" si="75"/>
        <v>0</v>
      </c>
      <c r="H90" s="312">
        <f>H27</f>
        <v>0</v>
      </c>
      <c r="I90" s="314">
        <f t="shared" si="76"/>
        <v>0</v>
      </c>
      <c r="J90" s="318">
        <f t="shared" si="77"/>
        <v>0</v>
      </c>
      <c r="K90" s="319">
        <f t="shared" si="65"/>
        <v>0</v>
      </c>
      <c r="L90" s="312">
        <f>L27</f>
        <v>0</v>
      </c>
      <c r="M90" s="314">
        <f t="shared" si="28"/>
        <v>0</v>
      </c>
      <c r="N90" s="312">
        <f>N27</f>
        <v>0</v>
      </c>
      <c r="O90" s="314">
        <f t="shared" si="66"/>
        <v>0</v>
      </c>
      <c r="P90" s="312">
        <f>P27</f>
        <v>0</v>
      </c>
      <c r="Q90" s="314">
        <f t="shared" si="67"/>
        <v>0</v>
      </c>
      <c r="R90" s="27"/>
    </row>
    <row r="91" spans="1:18" ht="15.75" thickBot="1" x14ac:dyDescent="0.3">
      <c r="A91" s="275" t="s">
        <v>688</v>
      </c>
      <c r="B91" s="427" t="s">
        <v>693</v>
      </c>
      <c r="C91" s="427"/>
      <c r="D91" s="427"/>
      <c r="E91" s="126">
        <f>IFERROR(E92/E93,0)</f>
        <v>0</v>
      </c>
      <c r="F91" s="126">
        <f>IFERROR(F92/F93,0)</f>
        <v>0</v>
      </c>
      <c r="G91" s="111">
        <f t="shared" ref="G91:G93" si="78">IF(ISNUMBER(+F91/E91-1),+F91/E91-1,0)</f>
        <v>0</v>
      </c>
      <c r="H91" s="126">
        <f>IFERROR(H92/H93,0)</f>
        <v>0</v>
      </c>
      <c r="I91" s="111">
        <f t="shared" ref="I91:I93" si="79">IF(ISNUMBER(+H91/F91-1),+H91/F91-1,0)</f>
        <v>0</v>
      </c>
      <c r="J91" s="308">
        <f>IFERROR(J92/J93,0)</f>
        <v>0</v>
      </c>
      <c r="K91" s="87">
        <f t="shared" si="65"/>
        <v>0</v>
      </c>
      <c r="L91" s="126">
        <f>IFERROR(L92/L93,0)</f>
        <v>0</v>
      </c>
      <c r="M91" s="111">
        <f t="shared" si="28"/>
        <v>0</v>
      </c>
      <c r="N91" s="126">
        <f>IFERROR(N92/N93,0)</f>
        <v>0</v>
      </c>
      <c r="O91" s="111">
        <f t="shared" si="66"/>
        <v>0</v>
      </c>
      <c r="P91" s="126">
        <f>IFERROR(P92/P93,0)</f>
        <v>0</v>
      </c>
      <c r="Q91" s="111">
        <f t="shared" si="67"/>
        <v>0</v>
      </c>
      <c r="R91" s="27"/>
    </row>
    <row r="92" spans="1:18" ht="15.75" thickBot="1" x14ac:dyDescent="0.3">
      <c r="A92" s="276" t="s">
        <v>688</v>
      </c>
      <c r="B92" s="89"/>
      <c r="C92" s="456" t="s">
        <v>700</v>
      </c>
      <c r="D92" s="457"/>
      <c r="E92" s="313">
        <f>E29</f>
        <v>0</v>
      </c>
      <c r="F92" s="313">
        <f>F29</f>
        <v>0</v>
      </c>
      <c r="G92" s="315">
        <f t="shared" si="78"/>
        <v>0</v>
      </c>
      <c r="H92" s="313">
        <f>H29</f>
        <v>0</v>
      </c>
      <c r="I92" s="315">
        <f t="shared" si="79"/>
        <v>0</v>
      </c>
      <c r="J92" s="316">
        <f t="shared" ref="J92:J93" si="80">(E92+F92+H92)/3</f>
        <v>0</v>
      </c>
      <c r="K92" s="317">
        <f t="shared" si="65"/>
        <v>0</v>
      </c>
      <c r="L92" s="313">
        <f>L29</f>
        <v>0</v>
      </c>
      <c r="M92" s="315">
        <f t="shared" si="28"/>
        <v>0</v>
      </c>
      <c r="N92" s="313">
        <f>N29</f>
        <v>0</v>
      </c>
      <c r="O92" s="315">
        <f t="shared" si="66"/>
        <v>0</v>
      </c>
      <c r="P92" s="313">
        <f>P29</f>
        <v>0</v>
      </c>
      <c r="Q92" s="315">
        <f t="shared" si="67"/>
        <v>0</v>
      </c>
      <c r="R92" s="27"/>
    </row>
    <row r="93" spans="1:18" ht="15.75" thickBot="1" x14ac:dyDescent="0.3">
      <c r="A93" s="277" t="s">
        <v>688</v>
      </c>
      <c r="B93" s="91"/>
      <c r="C93" s="458" t="s">
        <v>701</v>
      </c>
      <c r="D93" s="459"/>
      <c r="E93" s="312">
        <f>E34+E41</f>
        <v>0</v>
      </c>
      <c r="F93" s="312">
        <f>F34+F41</f>
        <v>0</v>
      </c>
      <c r="G93" s="314">
        <f t="shared" si="78"/>
        <v>0</v>
      </c>
      <c r="H93" s="312">
        <f>H34+H41</f>
        <v>0</v>
      </c>
      <c r="I93" s="314">
        <f t="shared" si="79"/>
        <v>0</v>
      </c>
      <c r="J93" s="318">
        <f t="shared" si="80"/>
        <v>0</v>
      </c>
      <c r="K93" s="319">
        <f t="shared" si="65"/>
        <v>0</v>
      </c>
      <c r="L93" s="312">
        <f>L34+L41</f>
        <v>0</v>
      </c>
      <c r="M93" s="314">
        <f t="shared" si="28"/>
        <v>0</v>
      </c>
      <c r="N93" s="312">
        <f>N34+N41</f>
        <v>0</v>
      </c>
      <c r="O93" s="314">
        <f t="shared" si="66"/>
        <v>0</v>
      </c>
      <c r="P93" s="312">
        <f>P34+P41</f>
        <v>0</v>
      </c>
      <c r="Q93" s="314">
        <f t="shared" si="67"/>
        <v>0</v>
      </c>
      <c r="R93" s="27"/>
    </row>
    <row r="94" spans="1:18" x14ac:dyDescent="0.25">
      <c r="A94" s="278" t="s">
        <v>542</v>
      </c>
      <c r="B94" s="54"/>
      <c r="C94" s="55"/>
      <c r="D94" s="56"/>
      <c r="E94" s="57"/>
      <c r="F94" s="57"/>
      <c r="G94" s="58"/>
      <c r="H94" s="57"/>
      <c r="I94" s="58"/>
      <c r="J94" s="57"/>
      <c r="K94" s="58"/>
      <c r="L94" s="57"/>
      <c r="M94" s="58"/>
      <c r="N94" s="57"/>
      <c r="O94" s="58"/>
      <c r="P94" s="57"/>
      <c r="Q94" s="58"/>
      <c r="R94" s="38"/>
    </row>
    <row r="95" spans="1:18" x14ac:dyDescent="0.25">
      <c r="A95" s="278" t="s">
        <v>542</v>
      </c>
      <c r="B95" s="59" t="str">
        <f>AutoBaremo!B274</f>
        <v xml:space="preserve">OBSERVACIONES: </v>
      </c>
      <c r="C95" s="55"/>
      <c r="D95" s="56"/>
      <c r="E95" s="57"/>
      <c r="F95" s="57"/>
      <c r="G95" s="58"/>
      <c r="H95" s="57"/>
      <c r="I95" s="58"/>
      <c r="J95" s="57"/>
      <c r="K95" s="58"/>
      <c r="L95" s="57"/>
      <c r="M95" s="58"/>
      <c r="N95" s="57"/>
      <c r="O95" s="58"/>
      <c r="P95" s="57"/>
      <c r="Q95" s="58"/>
      <c r="R95" s="38"/>
    </row>
    <row r="96" spans="1:18" x14ac:dyDescent="0.25">
      <c r="A96" s="278" t="s">
        <v>542</v>
      </c>
      <c r="B96" s="54"/>
      <c r="C96" s="473"/>
      <c r="D96" s="473"/>
      <c r="E96" s="473"/>
      <c r="F96" s="473"/>
      <c r="G96" s="473"/>
      <c r="H96" s="473"/>
      <c r="I96" s="473"/>
      <c r="J96" s="473"/>
      <c r="K96" s="473"/>
      <c r="L96" s="473"/>
      <c r="M96" s="473"/>
      <c r="N96" s="473"/>
      <c r="O96" s="473"/>
      <c r="P96" s="473"/>
      <c r="Q96" s="473"/>
      <c r="R96" s="38"/>
    </row>
    <row r="97" spans="1:18" ht="15.75" thickBot="1" x14ac:dyDescent="0.3">
      <c r="A97" s="278" t="s">
        <v>542</v>
      </c>
      <c r="B97" s="54"/>
      <c r="C97" s="55"/>
      <c r="D97" s="56"/>
      <c r="E97" s="57"/>
      <c r="F97" s="57"/>
      <c r="G97" s="58"/>
      <c r="H97" s="57"/>
      <c r="I97" s="58"/>
      <c r="J97" s="57"/>
      <c r="K97" s="58"/>
      <c r="L97" s="57"/>
      <c r="M97" s="58"/>
      <c r="N97" s="57"/>
      <c r="O97" s="58"/>
      <c r="P97" s="57"/>
      <c r="Q97" s="58"/>
      <c r="R97" s="38"/>
    </row>
    <row r="98" spans="1:18" x14ac:dyDescent="0.25">
      <c r="A98" s="279" t="s">
        <v>542</v>
      </c>
      <c r="B98" s="61"/>
      <c r="C98" s="62"/>
      <c r="D98" s="98"/>
      <c r="E98" s="349"/>
      <c r="F98" s="57"/>
      <c r="G98" s="58"/>
      <c r="H98" s="57"/>
      <c r="I98" s="58"/>
      <c r="J98" s="57"/>
      <c r="K98" s="58"/>
      <c r="L98" s="57"/>
      <c r="M98" s="58"/>
      <c r="N98" s="57"/>
      <c r="O98" s="58"/>
      <c r="P98" s="57"/>
      <c r="Q98" s="58"/>
      <c r="R98" s="38"/>
    </row>
    <row r="99" spans="1:18" x14ac:dyDescent="0.25">
      <c r="A99" s="280" t="s">
        <v>542</v>
      </c>
      <c r="B99" s="63" t="s">
        <v>377</v>
      </c>
      <c r="C99" s="64" t="str">
        <f>AutoBaremo!C280</f>
        <v/>
      </c>
      <c r="D99" s="99">
        <f>AutoBaremo!C5</f>
        <v>0</v>
      </c>
      <c r="E99" s="352"/>
      <c r="F99" s="65"/>
      <c r="G99" s="66"/>
      <c r="H99" s="65"/>
      <c r="I99" s="66"/>
      <c r="J99" s="65"/>
      <c r="K99" s="66"/>
      <c r="L99" s="65"/>
      <c r="M99" s="66"/>
      <c r="N99" s="65"/>
      <c r="O99" s="66"/>
      <c r="P99" s="65"/>
      <c r="Q99" s="66"/>
      <c r="R99" s="67"/>
    </row>
    <row r="100" spans="1:18" x14ac:dyDescent="0.25">
      <c r="A100" s="280" t="s">
        <v>542</v>
      </c>
      <c r="B100" s="63" t="s">
        <v>378</v>
      </c>
      <c r="C100" s="68" t="str">
        <f>AutoBaremo!C281</f>
        <v/>
      </c>
      <c r="D100" s="102"/>
      <c r="E100" s="352"/>
      <c r="F100" s="65"/>
      <c r="G100" s="66"/>
      <c r="H100" s="65"/>
      <c r="I100" s="66"/>
      <c r="J100" s="65"/>
      <c r="K100" s="66"/>
      <c r="L100" s="65"/>
      <c r="M100" s="66"/>
      <c r="N100" s="65"/>
      <c r="O100" s="66"/>
      <c r="P100" s="65"/>
      <c r="Q100" s="66"/>
      <c r="R100" s="67"/>
    </row>
    <row r="101" spans="1:18" x14ac:dyDescent="0.25">
      <c r="A101" s="279" t="s">
        <v>542</v>
      </c>
      <c r="B101" s="69"/>
      <c r="C101" s="70"/>
      <c r="D101" s="103"/>
      <c r="E101" s="354"/>
      <c r="F101" s="57"/>
      <c r="G101" s="58"/>
      <c r="H101" s="57"/>
      <c r="I101" s="58"/>
      <c r="J101" s="57"/>
      <c r="K101" s="58"/>
      <c r="L101" s="57"/>
      <c r="M101" s="58"/>
      <c r="N101" s="57"/>
      <c r="O101" s="58"/>
      <c r="P101" s="57"/>
      <c r="Q101" s="58"/>
      <c r="R101" s="38"/>
    </row>
    <row r="102" spans="1:18" x14ac:dyDescent="0.25">
      <c r="A102" s="279" t="s">
        <v>542</v>
      </c>
      <c r="B102" s="69"/>
      <c r="C102" s="70"/>
      <c r="D102" s="103"/>
      <c r="E102" s="354"/>
      <c r="F102" s="57"/>
      <c r="G102" s="58"/>
      <c r="H102" s="57"/>
      <c r="I102" s="58"/>
      <c r="J102" s="57"/>
      <c r="K102" s="58"/>
      <c r="L102" s="57"/>
      <c r="M102" s="58"/>
      <c r="N102" s="57"/>
      <c r="O102" s="58"/>
      <c r="P102" s="57"/>
      <c r="Q102" s="58"/>
      <c r="R102" s="38"/>
    </row>
    <row r="103" spans="1:18" x14ac:dyDescent="0.25">
      <c r="A103" s="279" t="s">
        <v>542</v>
      </c>
      <c r="B103" s="69"/>
      <c r="C103" s="70"/>
      <c r="D103" s="103"/>
      <c r="E103" s="354"/>
      <c r="F103" s="57"/>
      <c r="G103" s="58"/>
      <c r="H103" s="57"/>
      <c r="I103" s="58"/>
      <c r="J103" s="57"/>
      <c r="K103" s="58"/>
      <c r="L103" s="57"/>
      <c r="M103" s="58"/>
      <c r="N103" s="57"/>
      <c r="O103" s="58"/>
      <c r="P103" s="57"/>
      <c r="Q103" s="58"/>
      <c r="R103" s="38"/>
    </row>
    <row r="104" spans="1:18" ht="15.75" thickBot="1" x14ac:dyDescent="0.3">
      <c r="A104" s="279" t="s">
        <v>542</v>
      </c>
      <c r="B104" s="71"/>
      <c r="C104" s="72"/>
      <c r="D104" s="355"/>
      <c r="E104" s="357"/>
      <c r="F104" s="57"/>
      <c r="G104" s="58"/>
      <c r="H104" s="57"/>
      <c r="I104" s="58"/>
      <c r="J104" s="57"/>
      <c r="K104" s="58"/>
      <c r="L104" s="57"/>
      <c r="M104" s="58"/>
      <c r="N104" s="57"/>
      <c r="O104" s="58"/>
      <c r="P104" s="57"/>
      <c r="Q104" s="58"/>
      <c r="R104" s="38"/>
    </row>
    <row r="105" spans="1:18" x14ac:dyDescent="0.25">
      <c r="A105" s="282"/>
      <c r="B105" s="74"/>
      <c r="C105" s="74"/>
      <c r="D105" s="74"/>
      <c r="E105" s="75"/>
      <c r="F105" s="75"/>
      <c r="G105" s="76"/>
      <c r="H105" s="75"/>
      <c r="I105" s="76"/>
      <c r="J105" s="75"/>
      <c r="K105" s="76"/>
      <c r="L105" s="75"/>
      <c r="M105" s="76"/>
      <c r="N105" s="75"/>
      <c r="O105" s="76"/>
      <c r="P105" s="75"/>
      <c r="Q105" s="76"/>
      <c r="R105" s="27"/>
    </row>
  </sheetData>
  <sheetProtection algorithmName="SHA-512" hashValue="Zz89fjniCmot1HDIu+Lk3c+jzX+bX7yzHJ76DNIl4QgAZ/3rXeeMyqmzwHZ7wZyx5T7sBePH9/xKZMYQcIt+/A==" saltValue="/ajhU/JSUjqCIAbuYI1Z5w==" spinCount="100000" sheet="1" selectLockedCells="1" autoFilter="0"/>
  <autoFilter ref="A7:C7"/>
  <mergeCells count="97">
    <mergeCell ref="M1:P1"/>
    <mergeCell ref="B1:K1"/>
    <mergeCell ref="C96:Q96"/>
    <mergeCell ref="C37:D37"/>
    <mergeCell ref="C3:H3"/>
    <mergeCell ref="C11:D11"/>
    <mergeCell ref="C19:D19"/>
    <mergeCell ref="F9:G9"/>
    <mergeCell ref="H9:I9"/>
    <mergeCell ref="B18:D18"/>
    <mergeCell ref="C13:D13"/>
    <mergeCell ref="B10:D10"/>
    <mergeCell ref="C75:D75"/>
    <mergeCell ref="C80:D80"/>
    <mergeCell ref="C72:D72"/>
    <mergeCell ref="B67:D67"/>
    <mergeCell ref="C93:D93"/>
    <mergeCell ref="C92:D92"/>
    <mergeCell ref="C70:D70"/>
    <mergeCell ref="C71:D71"/>
    <mergeCell ref="C87:D87"/>
    <mergeCell ref="B85:D85"/>
    <mergeCell ref="B88:D88"/>
    <mergeCell ref="B79:D79"/>
    <mergeCell ref="B63:D63"/>
    <mergeCell ref="C53:D53"/>
    <mergeCell ref="C56:D56"/>
    <mergeCell ref="B91:D91"/>
    <mergeCell ref="B74:D74"/>
    <mergeCell ref="B77:D77"/>
    <mergeCell ref="C83:D83"/>
    <mergeCell ref="C86:D86"/>
    <mergeCell ref="C89:D89"/>
    <mergeCell ref="C84:D84"/>
    <mergeCell ref="C90:D90"/>
    <mergeCell ref="C81:D81"/>
    <mergeCell ref="C65:D65"/>
    <mergeCell ref="C69:D69"/>
    <mergeCell ref="B82:D82"/>
    <mergeCell ref="C73:D73"/>
    <mergeCell ref="C60:D60"/>
    <mergeCell ref="C62:D62"/>
    <mergeCell ref="C39:D39"/>
    <mergeCell ref="C43:D43"/>
    <mergeCell ref="C45:D45"/>
    <mergeCell ref="C46:D46"/>
    <mergeCell ref="C48:D48"/>
    <mergeCell ref="C58:D58"/>
    <mergeCell ref="C61:D61"/>
    <mergeCell ref="C40:D40"/>
    <mergeCell ref="C44:D44"/>
    <mergeCell ref="B51:D51"/>
    <mergeCell ref="B54:D54"/>
    <mergeCell ref="B59:D59"/>
    <mergeCell ref="C57:D57"/>
    <mergeCell ref="C52:D52"/>
    <mergeCell ref="C64:D64"/>
    <mergeCell ref="C66:D66"/>
    <mergeCell ref="C68:D68"/>
    <mergeCell ref="C2:H2"/>
    <mergeCell ref="C4:D4"/>
    <mergeCell ref="C16:D16"/>
    <mergeCell ref="C20:D20"/>
    <mergeCell ref="C22:D22"/>
    <mergeCell ref="C24:D24"/>
    <mergeCell ref="C26:D26"/>
    <mergeCell ref="C31:D31"/>
    <mergeCell ref="C33:D33"/>
    <mergeCell ref="C36:D36"/>
    <mergeCell ref="C38:D38"/>
    <mergeCell ref="C12:D12"/>
    <mergeCell ref="C55:D55"/>
    <mergeCell ref="P28:Q28"/>
    <mergeCell ref="P50:Q50"/>
    <mergeCell ref="E8:K8"/>
    <mergeCell ref="L8:Q8"/>
    <mergeCell ref="L9:M9"/>
    <mergeCell ref="N9:O9"/>
    <mergeCell ref="F28:G28"/>
    <mergeCell ref="H28:I28"/>
    <mergeCell ref="F50:G50"/>
    <mergeCell ref="H50:I50"/>
    <mergeCell ref="C14:D14"/>
    <mergeCell ref="B41:D41"/>
    <mergeCell ref="B49:D49"/>
    <mergeCell ref="C47:D47"/>
    <mergeCell ref="C15:D15"/>
    <mergeCell ref="C21:D21"/>
    <mergeCell ref="B27:D27"/>
    <mergeCell ref="B29:D29"/>
    <mergeCell ref="B34:D34"/>
    <mergeCell ref="C23:D23"/>
    <mergeCell ref="C25:D25"/>
    <mergeCell ref="C32:D32"/>
    <mergeCell ref="C30:D30"/>
    <mergeCell ref="C35:D35"/>
    <mergeCell ref="C42:D42"/>
  </mergeCells>
  <pageMargins left="0.35433070866141736" right="0.15748031496062992" top="0.94488188976377963" bottom="0.6692913385826772" header="0.19685039370078741" footer="0.19685039370078741"/>
  <pageSetup paperSize="9" scale="64" fitToHeight="0" orientation="landscape" r:id="rId1"/>
  <headerFooter scaleWithDoc="0">
    <oddHeader>&amp;L&amp;G</oddHeader>
    <oddFooter>&amp;L&amp;"Eras Demi ITC,Normal"&amp;8&amp;G&amp;R&amp;8&amp;P/&amp;N</oddFooter>
  </headerFooter>
  <rowBreaks count="1" manualBreakCount="1">
    <brk id="77" min="1" max="16" man="1"/>
  </rowBreaks>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Listas!$A$11:$A$21</xm:f>
          </x14:formula1>
          <xm:sqref>C4:D4</xm:sqref>
        </x14:dataValidation>
        <x14:dataValidation type="decimal" allowBlank="1" showInputMessage="1" showErrorMessage="1">
          <x14:formula1>
            <xm:f>Listas!$A$64</xm:f>
          </x14:formula1>
          <x14:formula2>
            <xm:f>Listas!$A$65</xm:f>
          </x14:formula2>
          <xm:sqref>E9:F9 H9 P9 J9 L9 N9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rgb="FF0070C0"/>
    <pageSetUpPr fitToPage="1"/>
  </sheetPr>
  <dimension ref="A1:M65"/>
  <sheetViews>
    <sheetView zoomScaleNormal="100" zoomScaleSheetLayoutView="110" workbookViewId="0">
      <selection activeCell="D6" sqref="D6"/>
    </sheetView>
  </sheetViews>
  <sheetFormatPr baseColWidth="10" defaultColWidth="11.42578125" defaultRowHeight="15" x14ac:dyDescent="0.25"/>
  <cols>
    <col min="1" max="1" width="6.85546875" customWidth="1"/>
    <col min="2" max="2" width="9" customWidth="1"/>
    <col min="3" max="3" width="31" customWidth="1"/>
    <col min="4" max="4" width="20.28515625" customWidth="1"/>
    <col min="5" max="5" width="17.5703125" customWidth="1"/>
    <col min="6" max="6" width="10.140625" customWidth="1"/>
    <col min="7" max="7" width="13.28515625" customWidth="1"/>
    <col min="8" max="8" width="12.7109375" customWidth="1"/>
    <col min="9" max="9" width="5.42578125" customWidth="1"/>
    <col min="10" max="10" width="12" customWidth="1"/>
    <col min="11" max="11" width="14.140625" customWidth="1"/>
    <col min="12" max="12" width="16.5703125" customWidth="1"/>
    <col min="13" max="13" width="43.42578125" bestFit="1" customWidth="1"/>
  </cols>
  <sheetData>
    <row r="1" spans="1:13" ht="24.75" customHeight="1" thickTop="1" thickBot="1" x14ac:dyDescent="0.4">
      <c r="A1" s="281"/>
      <c r="B1" s="447" t="s">
        <v>887</v>
      </c>
      <c r="C1" s="448"/>
      <c r="D1" s="448"/>
      <c r="E1" s="448"/>
      <c r="F1" s="448"/>
      <c r="G1" s="448"/>
      <c r="H1" s="448"/>
      <c r="I1" s="397"/>
      <c r="J1" s="477" t="str">
        <f>AutoBaremo!L1</f>
        <v xml:space="preserve">  GDR-JA-07 V.1.2 Diciembre 2017</v>
      </c>
      <c r="K1" s="477"/>
      <c r="L1" s="478"/>
    </row>
    <row r="2" spans="1:13" ht="16.5" thickTop="1" thickBot="1" x14ac:dyDescent="0.3">
      <c r="A2" s="281"/>
      <c r="B2" s="263" t="str">
        <f>AutoBaremo!B2</f>
        <v>Proyecto:</v>
      </c>
      <c r="C2" s="466" t="str">
        <f>IF(AutoBaremo!C2:K2=0,"",AutoBaremo!C2:K2)</f>
        <v/>
      </c>
      <c r="D2" s="466"/>
      <c r="E2" s="466"/>
      <c r="F2" s="466"/>
      <c r="G2" s="466"/>
      <c r="H2" s="466"/>
      <c r="I2" s="466"/>
      <c r="J2" s="466"/>
      <c r="K2" s="466"/>
      <c r="L2" s="466"/>
    </row>
    <row r="3" spans="1:13" ht="15.75" customHeight="1" thickTop="1" thickBot="1" x14ac:dyDescent="0.3">
      <c r="A3" s="281"/>
      <c r="B3" s="263" t="str">
        <f>AutoBaremo!B3</f>
        <v>Solicitante:</v>
      </c>
      <c r="C3" s="466" t="str">
        <f>IF(AutoBaremo!C3:K3=0,"",AutoBaremo!C3:K3)</f>
        <v/>
      </c>
      <c r="D3" s="466"/>
      <c r="E3" s="466"/>
      <c r="F3" s="466"/>
      <c r="G3" s="466"/>
      <c r="H3" s="466"/>
      <c r="I3" s="466"/>
      <c r="J3" s="466"/>
      <c r="K3" s="466"/>
      <c r="L3" s="466"/>
    </row>
    <row r="4" spans="1:13" ht="16.5" thickTop="1" thickBot="1" x14ac:dyDescent="0.3">
      <c r="A4" s="281"/>
      <c r="B4" s="263" t="str">
        <f>AutoBaremo!B4</f>
        <v>Municipio:</v>
      </c>
      <c r="C4" s="466" t="str">
        <f>IF(AutoBaremo!C4:K4=0,"",AutoBaremo!C4:K4)</f>
        <v/>
      </c>
      <c r="D4" s="466"/>
      <c r="E4" s="29"/>
      <c r="F4" s="29"/>
      <c r="G4" s="29"/>
      <c r="H4" s="107"/>
      <c r="I4" s="359"/>
      <c r="J4" s="107"/>
      <c r="K4" s="107"/>
      <c r="L4" s="107"/>
    </row>
    <row r="5" spans="1:13" ht="16.5" thickTop="1" thickBot="1" x14ac:dyDescent="0.3">
      <c r="A5" s="281"/>
      <c r="B5" s="263" t="str">
        <f>AutoBaremo!B5</f>
        <v>Fecha</v>
      </c>
      <c r="C5" s="32" t="str">
        <f>IF(AutoBaremo!C5:K5=0,"",AutoBaremo!C5:K5)</f>
        <v/>
      </c>
      <c r="D5" s="346"/>
      <c r="E5" s="261"/>
      <c r="F5" s="261"/>
      <c r="G5" s="261"/>
      <c r="H5" s="261"/>
      <c r="I5" s="360"/>
      <c r="J5" s="261"/>
      <c r="K5" s="261"/>
      <c r="L5" s="261"/>
    </row>
    <row r="6" spans="1:13" ht="16.5" thickTop="1" thickBot="1" x14ac:dyDescent="0.3">
      <c r="A6" s="281"/>
      <c r="B6" s="263"/>
      <c r="C6" s="361" t="s">
        <v>823</v>
      </c>
      <c r="D6" s="363"/>
      <c r="E6" s="362" t="str">
        <f>IF(D6=Listas!$A$2,"",IF(D6=Listas!$A$3,"",Listas!$A$46))</f>
        <v>Indicar  Si o No es el IVA subvencionable</v>
      </c>
      <c r="F6" s="261"/>
      <c r="G6" s="261"/>
      <c r="H6" s="261"/>
      <c r="I6" s="360"/>
      <c r="J6" s="261"/>
      <c r="K6" s="261"/>
      <c r="L6" s="261"/>
    </row>
    <row r="7" spans="1:13" ht="16.5" thickTop="1" thickBot="1" x14ac:dyDescent="0.3">
      <c r="A7" s="370" t="s">
        <v>555</v>
      </c>
      <c r="B7" s="371"/>
      <c r="C7" s="371"/>
      <c r="D7" s="371"/>
      <c r="E7" s="371"/>
      <c r="F7" s="371"/>
      <c r="G7" s="371"/>
      <c r="H7" s="371"/>
      <c r="I7" s="372"/>
      <c r="J7" s="371"/>
      <c r="K7" s="371"/>
      <c r="L7" s="371"/>
    </row>
    <row r="8" spans="1:13" ht="32.25" customHeight="1" thickTop="1" thickBot="1" x14ac:dyDescent="0.3">
      <c r="A8" s="376" t="s">
        <v>854</v>
      </c>
      <c r="B8" s="373"/>
      <c r="C8" s="373" t="s">
        <v>824</v>
      </c>
      <c r="D8" s="373" t="s">
        <v>825</v>
      </c>
      <c r="E8" s="374" t="s">
        <v>826</v>
      </c>
      <c r="F8" s="374" t="s">
        <v>827</v>
      </c>
      <c r="G8" s="374" t="s">
        <v>828</v>
      </c>
      <c r="H8" s="374" t="s">
        <v>829</v>
      </c>
      <c r="I8" s="375" t="s">
        <v>830</v>
      </c>
      <c r="J8" s="374" t="s">
        <v>831</v>
      </c>
      <c r="K8" s="374" t="s">
        <v>832</v>
      </c>
      <c r="L8" s="374" t="s">
        <v>833</v>
      </c>
    </row>
    <row r="9" spans="1:13" ht="20.25" customHeight="1" thickTop="1" thickBot="1" x14ac:dyDescent="0.3">
      <c r="A9" s="275" t="s">
        <v>745</v>
      </c>
      <c r="B9" s="364" t="s">
        <v>368</v>
      </c>
      <c r="C9" s="377"/>
      <c r="D9" s="378"/>
      <c r="E9" s="378"/>
      <c r="F9" s="378"/>
      <c r="G9" s="378"/>
      <c r="H9" s="379">
        <f>H10+H41+H48</f>
        <v>0</v>
      </c>
      <c r="I9" s="378"/>
      <c r="J9" s="379">
        <f>J10+J41+J48</f>
        <v>0</v>
      </c>
      <c r="K9" s="379">
        <f>K10+K41+K48</f>
        <v>0</v>
      </c>
      <c r="L9" s="380">
        <f>L10+L41+L48</f>
        <v>0</v>
      </c>
    </row>
    <row r="10" spans="1:13" ht="15.75" customHeight="1" thickBot="1" x14ac:dyDescent="0.3">
      <c r="A10" s="275" t="s">
        <v>856</v>
      </c>
      <c r="B10" s="365" t="s">
        <v>834</v>
      </c>
      <c r="C10" s="366"/>
      <c r="D10" s="366"/>
      <c r="E10" s="381"/>
      <c r="F10" s="381"/>
      <c r="G10" s="381"/>
      <c r="H10" s="382">
        <f>SUM(H11:H40)</f>
        <v>0</v>
      </c>
      <c r="I10" s="381"/>
      <c r="J10" s="382">
        <f>SUM(J11:J40)</f>
        <v>0</v>
      </c>
      <c r="K10" s="382">
        <f>SUM(K11:K40)</f>
        <v>0</v>
      </c>
      <c r="L10" s="382">
        <f>SUM(L11:L40)</f>
        <v>0</v>
      </c>
    </row>
    <row r="11" spans="1:13" ht="15.75" customHeight="1" thickBot="1" x14ac:dyDescent="0.3">
      <c r="A11" s="276" t="s">
        <v>856</v>
      </c>
      <c r="B11" s="89"/>
      <c r="C11" s="408"/>
      <c r="D11" s="401"/>
      <c r="E11" s="402"/>
      <c r="F11" s="403"/>
      <c r="G11" s="403"/>
      <c r="H11" s="404">
        <f>G11*F11</f>
        <v>0</v>
      </c>
      <c r="I11" s="389"/>
      <c r="J11" s="404">
        <f>H11*I11</f>
        <v>0</v>
      </c>
      <c r="K11" s="406">
        <f>IF(C11&lt;&gt;"",J11+H11,0)</f>
        <v>0</v>
      </c>
      <c r="L11" s="406">
        <f>IF(D11&lt;&gt;"",IF($D$6=Listas!$A$3,K11,H11),0)</f>
        <v>0</v>
      </c>
      <c r="M11" s="387" t="str">
        <f>IF(C11&lt;&gt;"",IF(D11="",Listas!$B$73,IF(E11="",Listas!$B$74,IF(F11=0,Listas!$B$75,IF(G11=0,Listas!$B$76,IF(I11="",Listas!$B$77,""))))),"")</f>
        <v/>
      </c>
    </row>
    <row r="12" spans="1:13" ht="15.75" customHeight="1" thickBot="1" x14ac:dyDescent="0.3">
      <c r="A12" s="277" t="s">
        <v>856</v>
      </c>
      <c r="B12" s="91"/>
      <c r="C12" s="409"/>
      <c r="D12" s="401"/>
      <c r="E12" s="402"/>
      <c r="F12" s="403"/>
      <c r="G12" s="403"/>
      <c r="H12" s="405">
        <f t="shared" ref="H12:H13" si="0">G12*F12</f>
        <v>0</v>
      </c>
      <c r="I12" s="390"/>
      <c r="J12" s="405">
        <f t="shared" ref="J12:J13" si="1">H12*I12</f>
        <v>0</v>
      </c>
      <c r="K12" s="407">
        <f t="shared" ref="K12:K54" si="2">IF(C12&lt;&gt;"",J12+H12,0)</f>
        <v>0</v>
      </c>
      <c r="L12" s="407">
        <f>IF(D12&lt;&gt;"",IF($D$6=Listas!$A$3,K12,H12),0)</f>
        <v>0</v>
      </c>
      <c r="M12" s="387" t="str">
        <f>IF(C12&lt;&gt;"",IF(D12="",Listas!$B$73,IF(E12="",Listas!$B$74,IF(F12=0,Listas!$B$75,IF(G12=0,Listas!$B$76,IF(I12="",Listas!$B$77,""))))),"")</f>
        <v/>
      </c>
    </row>
    <row r="13" spans="1:13" ht="15.75" customHeight="1" thickBot="1" x14ac:dyDescent="0.3">
      <c r="A13" s="276" t="s">
        <v>856</v>
      </c>
      <c r="B13" s="89"/>
      <c r="C13" s="408"/>
      <c r="D13" s="401"/>
      <c r="E13" s="402"/>
      <c r="F13" s="403"/>
      <c r="G13" s="403"/>
      <c r="H13" s="404">
        <f t="shared" si="0"/>
        <v>0</v>
      </c>
      <c r="I13" s="389"/>
      <c r="J13" s="404">
        <f t="shared" si="1"/>
        <v>0</v>
      </c>
      <c r="K13" s="406">
        <f t="shared" si="2"/>
        <v>0</v>
      </c>
      <c r="L13" s="406">
        <f>IF(D13&lt;&gt;"",IF($D$6=Listas!$A$3,K13,H13),0)</f>
        <v>0</v>
      </c>
      <c r="M13" s="387" t="str">
        <f>IF(C13&lt;&gt;"",IF(D13="",Listas!$B$73,IF(E13="",Listas!$B$74,IF(F13=0,Listas!$B$75,IF(G13=0,Listas!$B$76,IF(I13="",Listas!$B$77,""))))),"")</f>
        <v/>
      </c>
    </row>
    <row r="14" spans="1:13" ht="15.75" customHeight="1" thickBot="1" x14ac:dyDescent="0.3">
      <c r="A14" s="277" t="s">
        <v>856</v>
      </c>
      <c r="B14" s="91"/>
      <c r="C14" s="409"/>
      <c r="D14" s="401"/>
      <c r="E14" s="402"/>
      <c r="F14" s="403"/>
      <c r="G14" s="403"/>
      <c r="H14" s="405">
        <f t="shared" ref="H14:H40" si="3">G14*F14</f>
        <v>0</v>
      </c>
      <c r="I14" s="390"/>
      <c r="J14" s="405">
        <f t="shared" ref="J14:J40" si="4">H14*I14</f>
        <v>0</v>
      </c>
      <c r="K14" s="407">
        <f t="shared" si="2"/>
        <v>0</v>
      </c>
      <c r="L14" s="407">
        <f>IF(D14&lt;&gt;"",IF($D$6=Listas!$A$3,K14,H14),0)</f>
        <v>0</v>
      </c>
      <c r="M14" s="387" t="str">
        <f>IF(C14&lt;&gt;"",IF(D14="",Listas!$B$73,IF(E14="",Listas!$B$74,IF(F14=0,Listas!$B$75,IF(G14=0,Listas!$B$76,IF(I14="",Listas!$B$77,""))))),"")</f>
        <v/>
      </c>
    </row>
    <row r="15" spans="1:13" ht="15.75" customHeight="1" thickBot="1" x14ac:dyDescent="0.3">
      <c r="A15" s="276" t="s">
        <v>856</v>
      </c>
      <c r="B15" s="89"/>
      <c r="C15" s="408"/>
      <c r="D15" s="401"/>
      <c r="E15" s="402"/>
      <c r="F15" s="403"/>
      <c r="G15" s="403"/>
      <c r="H15" s="404">
        <f t="shared" si="3"/>
        <v>0</v>
      </c>
      <c r="I15" s="389"/>
      <c r="J15" s="404">
        <f t="shared" si="4"/>
        <v>0</v>
      </c>
      <c r="K15" s="406">
        <f t="shared" si="2"/>
        <v>0</v>
      </c>
      <c r="L15" s="406">
        <f>IF(D15&lt;&gt;"",IF($D$6=Listas!$A$3,K15,H15),0)</f>
        <v>0</v>
      </c>
      <c r="M15" s="387" t="str">
        <f>IF(C15&lt;&gt;"",IF(D15="",Listas!$B$73,IF(E15="",Listas!$B$74,IF(F15=0,Listas!$B$75,IF(G15=0,Listas!$B$76,IF(I15="",Listas!$B$77,""))))),"")</f>
        <v/>
      </c>
    </row>
    <row r="16" spans="1:13" ht="15.75" customHeight="1" thickBot="1" x14ac:dyDescent="0.3">
      <c r="A16" s="277" t="s">
        <v>856</v>
      </c>
      <c r="B16" s="91"/>
      <c r="C16" s="409"/>
      <c r="D16" s="401"/>
      <c r="E16" s="402"/>
      <c r="F16" s="403"/>
      <c r="G16" s="403"/>
      <c r="H16" s="405">
        <f t="shared" si="3"/>
        <v>0</v>
      </c>
      <c r="I16" s="390"/>
      <c r="J16" s="405">
        <f t="shared" si="4"/>
        <v>0</v>
      </c>
      <c r="K16" s="407">
        <f t="shared" si="2"/>
        <v>0</v>
      </c>
      <c r="L16" s="407">
        <f>IF(D16&lt;&gt;"",IF($D$6=Listas!$A$3,K16,H16),0)</f>
        <v>0</v>
      </c>
      <c r="M16" s="387" t="str">
        <f>IF(C16&lt;&gt;"",IF(D16="",Listas!$B$73,IF(E16="",Listas!$B$74,IF(F16=0,Listas!$B$75,IF(G16=0,Listas!$B$76,IF(I16="",Listas!$B$77,""))))),"")</f>
        <v/>
      </c>
    </row>
    <row r="17" spans="1:13" ht="15.75" customHeight="1" thickBot="1" x14ac:dyDescent="0.3">
      <c r="A17" s="276" t="s">
        <v>856</v>
      </c>
      <c r="B17" s="89"/>
      <c r="C17" s="408"/>
      <c r="D17" s="401"/>
      <c r="E17" s="402"/>
      <c r="F17" s="403"/>
      <c r="G17" s="403"/>
      <c r="H17" s="404">
        <f t="shared" si="3"/>
        <v>0</v>
      </c>
      <c r="I17" s="389"/>
      <c r="J17" s="404">
        <f t="shared" si="4"/>
        <v>0</v>
      </c>
      <c r="K17" s="406">
        <f t="shared" si="2"/>
        <v>0</v>
      </c>
      <c r="L17" s="406">
        <f>IF(D17&lt;&gt;"",IF($D$6=Listas!$A$3,K17,H17),0)</f>
        <v>0</v>
      </c>
      <c r="M17" s="387" t="str">
        <f>IF(C17&lt;&gt;"",IF(D17="",Listas!$B$73,IF(E17="",Listas!$B$74,IF(F17=0,Listas!$B$75,IF(G17=0,Listas!$B$76,IF(I17="",Listas!$B$77,""))))),"")</f>
        <v/>
      </c>
    </row>
    <row r="18" spans="1:13" ht="15.75" customHeight="1" thickBot="1" x14ac:dyDescent="0.3">
      <c r="A18" s="277" t="s">
        <v>856</v>
      </c>
      <c r="B18" s="91"/>
      <c r="C18" s="409"/>
      <c r="D18" s="401"/>
      <c r="E18" s="402"/>
      <c r="F18" s="403"/>
      <c r="G18" s="403"/>
      <c r="H18" s="405">
        <f t="shared" si="3"/>
        <v>0</v>
      </c>
      <c r="I18" s="390"/>
      <c r="J18" s="405">
        <f t="shared" si="4"/>
        <v>0</v>
      </c>
      <c r="K18" s="407">
        <f t="shared" si="2"/>
        <v>0</v>
      </c>
      <c r="L18" s="407">
        <f>IF(D18&lt;&gt;"",IF($D$6=Listas!$A$3,K18,H18),0)</f>
        <v>0</v>
      </c>
      <c r="M18" s="387" t="str">
        <f>IF(C18&lt;&gt;"",IF(D18="",Listas!$B$73,IF(E18="",Listas!$B$74,IF(F18=0,Listas!$B$75,IF(G18=0,Listas!$B$76,IF(I18="",Listas!$B$77,""))))),"")</f>
        <v/>
      </c>
    </row>
    <row r="19" spans="1:13" ht="15.75" customHeight="1" thickBot="1" x14ac:dyDescent="0.3">
      <c r="A19" s="276" t="s">
        <v>856</v>
      </c>
      <c r="B19" s="89"/>
      <c r="C19" s="408"/>
      <c r="D19" s="401"/>
      <c r="E19" s="402"/>
      <c r="F19" s="403"/>
      <c r="G19" s="403"/>
      <c r="H19" s="404">
        <f t="shared" si="3"/>
        <v>0</v>
      </c>
      <c r="I19" s="389"/>
      <c r="J19" s="404">
        <f t="shared" si="4"/>
        <v>0</v>
      </c>
      <c r="K19" s="406">
        <f t="shared" si="2"/>
        <v>0</v>
      </c>
      <c r="L19" s="406">
        <f>IF(D19&lt;&gt;"",IF($D$6=Listas!$A$3,K19,H19),0)</f>
        <v>0</v>
      </c>
      <c r="M19" s="387" t="str">
        <f>IF(C19&lt;&gt;"",IF(D19="",Listas!$B$73,IF(E19="",Listas!$B$74,IF(F19=0,Listas!$B$75,IF(G19=0,Listas!$B$76,IF(I19="",Listas!$B$77,""))))),"")</f>
        <v/>
      </c>
    </row>
    <row r="20" spans="1:13" ht="15.75" customHeight="1" thickBot="1" x14ac:dyDescent="0.3">
      <c r="A20" s="277" t="s">
        <v>856</v>
      </c>
      <c r="B20" s="91"/>
      <c r="C20" s="409"/>
      <c r="D20" s="401"/>
      <c r="E20" s="402"/>
      <c r="F20" s="403"/>
      <c r="G20" s="403"/>
      <c r="H20" s="405">
        <f t="shared" si="3"/>
        <v>0</v>
      </c>
      <c r="I20" s="390"/>
      <c r="J20" s="405">
        <f t="shared" si="4"/>
        <v>0</v>
      </c>
      <c r="K20" s="407">
        <f t="shared" si="2"/>
        <v>0</v>
      </c>
      <c r="L20" s="407">
        <f>IF(D20&lt;&gt;"",IF($D$6=Listas!$A$3,K20,H20),0)</f>
        <v>0</v>
      </c>
      <c r="M20" s="387" t="str">
        <f>IF(C20&lt;&gt;"",IF(D20="",Listas!$B$73,IF(E20="",Listas!$B$74,IF(F20=0,Listas!$B$75,IF(G20=0,Listas!$B$76,IF(I20="",Listas!$B$77,""))))),"")</f>
        <v/>
      </c>
    </row>
    <row r="21" spans="1:13" ht="15.75" customHeight="1" thickBot="1" x14ac:dyDescent="0.3">
      <c r="A21" s="276" t="s">
        <v>856</v>
      </c>
      <c r="B21" s="89"/>
      <c r="C21" s="408"/>
      <c r="D21" s="401"/>
      <c r="E21" s="402"/>
      <c r="F21" s="403"/>
      <c r="G21" s="403"/>
      <c r="H21" s="404">
        <f t="shared" si="3"/>
        <v>0</v>
      </c>
      <c r="I21" s="389"/>
      <c r="J21" s="404">
        <f t="shared" si="4"/>
        <v>0</v>
      </c>
      <c r="K21" s="406">
        <f t="shared" si="2"/>
        <v>0</v>
      </c>
      <c r="L21" s="406">
        <f>IF(D21&lt;&gt;"",IF($D$6=Listas!$A$3,K21,H21),0)</f>
        <v>0</v>
      </c>
      <c r="M21" s="387" t="str">
        <f>IF(C21&lt;&gt;"",IF(D21="",Listas!$B$73,IF(E21="",Listas!$B$74,IF(F21=0,Listas!$B$75,IF(G21=0,Listas!$B$76,IF(I21="",Listas!$B$77,""))))),"")</f>
        <v/>
      </c>
    </row>
    <row r="22" spans="1:13" ht="15.75" customHeight="1" thickBot="1" x14ac:dyDescent="0.3">
      <c r="A22" s="277" t="s">
        <v>856</v>
      </c>
      <c r="B22" s="91"/>
      <c r="C22" s="409"/>
      <c r="D22" s="401"/>
      <c r="E22" s="402"/>
      <c r="F22" s="403"/>
      <c r="G22" s="403"/>
      <c r="H22" s="405">
        <f t="shared" si="3"/>
        <v>0</v>
      </c>
      <c r="I22" s="390"/>
      <c r="J22" s="405">
        <f t="shared" si="4"/>
        <v>0</v>
      </c>
      <c r="K22" s="407">
        <f t="shared" si="2"/>
        <v>0</v>
      </c>
      <c r="L22" s="407">
        <f>IF(D22&lt;&gt;"",IF($D$6=Listas!$A$3,K22,H22),0)</f>
        <v>0</v>
      </c>
      <c r="M22" s="387" t="str">
        <f>IF(C22&lt;&gt;"",IF(D22="",Listas!$B$73,IF(E22="",Listas!$B$74,IF(F22=0,Listas!$B$75,IF(G22=0,Listas!$B$76,IF(I22="",Listas!$B$77,""))))),"")</f>
        <v/>
      </c>
    </row>
    <row r="23" spans="1:13" ht="15.75" customHeight="1" thickBot="1" x14ac:dyDescent="0.3">
      <c r="A23" s="276" t="s">
        <v>856</v>
      </c>
      <c r="B23" s="89"/>
      <c r="C23" s="408"/>
      <c r="D23" s="401"/>
      <c r="E23" s="402"/>
      <c r="F23" s="403"/>
      <c r="G23" s="403"/>
      <c r="H23" s="404">
        <f t="shared" si="3"/>
        <v>0</v>
      </c>
      <c r="I23" s="389"/>
      <c r="J23" s="404">
        <f t="shared" si="4"/>
        <v>0</v>
      </c>
      <c r="K23" s="406">
        <f t="shared" si="2"/>
        <v>0</v>
      </c>
      <c r="L23" s="406">
        <f>IF(D23&lt;&gt;"",IF($D$6=Listas!$A$3,K23,H23),0)</f>
        <v>0</v>
      </c>
      <c r="M23" s="387" t="str">
        <f>IF(C23&lt;&gt;"",IF(D23="",Listas!$B$73,IF(E23="",Listas!$B$74,IF(F23=0,Listas!$B$75,IF(G23=0,Listas!$B$76,IF(I23="",Listas!$B$77,""))))),"")</f>
        <v/>
      </c>
    </row>
    <row r="24" spans="1:13" ht="15.75" customHeight="1" thickBot="1" x14ac:dyDescent="0.3">
      <c r="A24" s="277" t="s">
        <v>856</v>
      </c>
      <c r="B24" s="91"/>
      <c r="C24" s="409"/>
      <c r="D24" s="401"/>
      <c r="E24" s="402"/>
      <c r="F24" s="403"/>
      <c r="G24" s="403"/>
      <c r="H24" s="405">
        <f t="shared" si="3"/>
        <v>0</v>
      </c>
      <c r="I24" s="390"/>
      <c r="J24" s="405">
        <f t="shared" si="4"/>
        <v>0</v>
      </c>
      <c r="K24" s="407">
        <f t="shared" si="2"/>
        <v>0</v>
      </c>
      <c r="L24" s="407">
        <f>IF(D24&lt;&gt;"",IF($D$6=Listas!$A$3,K24,H24),0)</f>
        <v>0</v>
      </c>
      <c r="M24" s="387" t="str">
        <f>IF(C24&lt;&gt;"",IF(D24="",Listas!$B$73,IF(E24="",Listas!$B$74,IF(F24=0,Listas!$B$75,IF(G24=0,Listas!$B$76,IF(I24="",Listas!$B$77,""))))),"")</f>
        <v/>
      </c>
    </row>
    <row r="25" spans="1:13" ht="15.75" customHeight="1" thickBot="1" x14ac:dyDescent="0.3">
      <c r="A25" s="276" t="s">
        <v>856</v>
      </c>
      <c r="B25" s="89"/>
      <c r="C25" s="408"/>
      <c r="D25" s="401"/>
      <c r="E25" s="402"/>
      <c r="F25" s="403"/>
      <c r="G25" s="403"/>
      <c r="H25" s="404">
        <f t="shared" si="3"/>
        <v>0</v>
      </c>
      <c r="I25" s="389"/>
      <c r="J25" s="404">
        <f t="shared" si="4"/>
        <v>0</v>
      </c>
      <c r="K25" s="406">
        <f t="shared" si="2"/>
        <v>0</v>
      </c>
      <c r="L25" s="406">
        <f>IF(D25&lt;&gt;"",IF($D$6=Listas!$A$3,K25,H25),0)</f>
        <v>0</v>
      </c>
      <c r="M25" s="387" t="str">
        <f>IF(C25&lt;&gt;"",IF(D25="",Listas!$B$73,IF(E25="",Listas!$B$74,IF(F25=0,Listas!$B$75,IF(G25=0,Listas!$B$76,IF(I25="",Listas!$B$77,""))))),"")</f>
        <v/>
      </c>
    </row>
    <row r="26" spans="1:13" ht="15.75" customHeight="1" thickBot="1" x14ac:dyDescent="0.3">
      <c r="A26" s="277" t="s">
        <v>856</v>
      </c>
      <c r="B26" s="91"/>
      <c r="C26" s="409"/>
      <c r="D26" s="401"/>
      <c r="E26" s="402"/>
      <c r="F26" s="403"/>
      <c r="G26" s="403"/>
      <c r="H26" s="405">
        <f t="shared" si="3"/>
        <v>0</v>
      </c>
      <c r="I26" s="390"/>
      <c r="J26" s="405">
        <f t="shared" si="4"/>
        <v>0</v>
      </c>
      <c r="K26" s="407">
        <f t="shared" si="2"/>
        <v>0</v>
      </c>
      <c r="L26" s="407">
        <f>IF(D26&lt;&gt;"",IF($D$6=Listas!$A$3,K26,H26),0)</f>
        <v>0</v>
      </c>
      <c r="M26" s="387" t="str">
        <f>IF(C26&lt;&gt;"",IF(D26="",Listas!$B$73,IF(E26="",Listas!$B$74,IF(F26=0,Listas!$B$75,IF(G26=0,Listas!$B$76,IF(I26="",Listas!$B$77,""))))),"")</f>
        <v/>
      </c>
    </row>
    <row r="27" spans="1:13" ht="15.75" customHeight="1" thickBot="1" x14ac:dyDescent="0.3">
      <c r="A27" s="276" t="s">
        <v>856</v>
      </c>
      <c r="B27" s="89"/>
      <c r="C27" s="408"/>
      <c r="D27" s="401"/>
      <c r="E27" s="402"/>
      <c r="F27" s="403"/>
      <c r="G27" s="403"/>
      <c r="H27" s="404">
        <f t="shared" si="3"/>
        <v>0</v>
      </c>
      <c r="I27" s="389"/>
      <c r="J27" s="404">
        <f t="shared" si="4"/>
        <v>0</v>
      </c>
      <c r="K27" s="406">
        <f t="shared" si="2"/>
        <v>0</v>
      </c>
      <c r="L27" s="406">
        <f>IF(D27&lt;&gt;"",IF($D$6=Listas!$A$3,K27,H27),0)</f>
        <v>0</v>
      </c>
      <c r="M27" s="387" t="str">
        <f>IF(C27&lt;&gt;"",IF(D27="",Listas!$B$73,IF(E27="",Listas!$B$74,IF(F27=0,Listas!$B$75,IF(G27=0,Listas!$B$76,IF(I27="",Listas!$B$77,""))))),"")</f>
        <v/>
      </c>
    </row>
    <row r="28" spans="1:13" ht="15.75" customHeight="1" thickBot="1" x14ac:dyDescent="0.3">
      <c r="A28" s="277" t="s">
        <v>856</v>
      </c>
      <c r="B28" s="91"/>
      <c r="C28" s="409"/>
      <c r="D28" s="401"/>
      <c r="E28" s="402"/>
      <c r="F28" s="403"/>
      <c r="G28" s="403"/>
      <c r="H28" s="405">
        <f t="shared" si="3"/>
        <v>0</v>
      </c>
      <c r="I28" s="390"/>
      <c r="J28" s="405">
        <f t="shared" si="4"/>
        <v>0</v>
      </c>
      <c r="K28" s="407">
        <f t="shared" si="2"/>
        <v>0</v>
      </c>
      <c r="L28" s="407">
        <f>IF(D28&lt;&gt;"",IF($D$6=Listas!$A$3,K28,H28),0)</f>
        <v>0</v>
      </c>
      <c r="M28" s="387" t="str">
        <f>IF(C28&lt;&gt;"",IF(D28="",Listas!$B$73,IF(E28="",Listas!$B$74,IF(F28=0,Listas!$B$75,IF(G28=0,Listas!$B$76,IF(I28="",Listas!$B$77,""))))),"")</f>
        <v/>
      </c>
    </row>
    <row r="29" spans="1:13" ht="15.75" customHeight="1" thickBot="1" x14ac:dyDescent="0.3">
      <c r="A29" s="276" t="s">
        <v>856</v>
      </c>
      <c r="B29" s="89"/>
      <c r="C29" s="408"/>
      <c r="D29" s="401"/>
      <c r="E29" s="402"/>
      <c r="F29" s="403"/>
      <c r="G29" s="403"/>
      <c r="H29" s="404">
        <f t="shared" si="3"/>
        <v>0</v>
      </c>
      <c r="I29" s="389"/>
      <c r="J29" s="404">
        <f t="shared" si="4"/>
        <v>0</v>
      </c>
      <c r="K29" s="406">
        <f t="shared" si="2"/>
        <v>0</v>
      </c>
      <c r="L29" s="406">
        <f>IF(D29&lt;&gt;"",IF($D$6=Listas!$A$3,K29,H29),0)</f>
        <v>0</v>
      </c>
      <c r="M29" s="387" t="str">
        <f>IF(C29&lt;&gt;"",IF(D29="",Listas!$B$73,IF(E29="",Listas!$B$74,IF(F29=0,Listas!$B$75,IF(G29=0,Listas!$B$76,IF(I29="",Listas!$B$77,""))))),"")</f>
        <v/>
      </c>
    </row>
    <row r="30" spans="1:13" ht="15.75" customHeight="1" thickBot="1" x14ac:dyDescent="0.3">
      <c r="A30" s="277" t="s">
        <v>856</v>
      </c>
      <c r="B30" s="91"/>
      <c r="C30" s="409"/>
      <c r="D30" s="401"/>
      <c r="E30" s="402"/>
      <c r="F30" s="403"/>
      <c r="G30" s="403"/>
      <c r="H30" s="405">
        <f t="shared" si="3"/>
        <v>0</v>
      </c>
      <c r="I30" s="390"/>
      <c r="J30" s="405">
        <f t="shared" si="4"/>
        <v>0</v>
      </c>
      <c r="K30" s="407">
        <f t="shared" si="2"/>
        <v>0</v>
      </c>
      <c r="L30" s="407">
        <f>IF(D30&lt;&gt;"",IF($D$6=Listas!$A$3,K30,H30),0)</f>
        <v>0</v>
      </c>
      <c r="M30" s="387" t="str">
        <f>IF(C30&lt;&gt;"",IF(D30="",Listas!$B$73,IF(E30="",Listas!$B$74,IF(F30=0,Listas!$B$75,IF(G30=0,Listas!$B$76,IF(I30="",Listas!$B$77,""))))),"")</f>
        <v/>
      </c>
    </row>
    <row r="31" spans="1:13" ht="15.75" customHeight="1" thickBot="1" x14ac:dyDescent="0.3">
      <c r="A31" s="276" t="s">
        <v>856</v>
      </c>
      <c r="B31" s="89"/>
      <c r="C31" s="408"/>
      <c r="D31" s="401"/>
      <c r="E31" s="402"/>
      <c r="F31" s="403"/>
      <c r="G31" s="403"/>
      <c r="H31" s="404">
        <f t="shared" si="3"/>
        <v>0</v>
      </c>
      <c r="I31" s="389"/>
      <c r="J31" s="404">
        <f t="shared" si="4"/>
        <v>0</v>
      </c>
      <c r="K31" s="406">
        <f t="shared" si="2"/>
        <v>0</v>
      </c>
      <c r="L31" s="406">
        <f>IF(D31&lt;&gt;"",IF($D$6=Listas!$A$3,K31,H31),0)</f>
        <v>0</v>
      </c>
      <c r="M31" s="387" t="str">
        <f>IF(C31&lt;&gt;"",IF(D31="",Listas!$B$73,IF(E31="",Listas!$B$74,IF(F31=0,Listas!$B$75,IF(G31=0,Listas!$B$76,IF(I31="",Listas!$B$77,""))))),"")</f>
        <v/>
      </c>
    </row>
    <row r="32" spans="1:13" ht="15.75" customHeight="1" thickBot="1" x14ac:dyDescent="0.3">
      <c r="A32" s="277" t="s">
        <v>856</v>
      </c>
      <c r="B32" s="91"/>
      <c r="C32" s="409"/>
      <c r="D32" s="401"/>
      <c r="E32" s="402"/>
      <c r="F32" s="403"/>
      <c r="G32" s="403"/>
      <c r="H32" s="405">
        <f t="shared" si="3"/>
        <v>0</v>
      </c>
      <c r="I32" s="390"/>
      <c r="J32" s="405">
        <f t="shared" si="4"/>
        <v>0</v>
      </c>
      <c r="K32" s="407">
        <f t="shared" si="2"/>
        <v>0</v>
      </c>
      <c r="L32" s="407">
        <f>IF(D32&lt;&gt;"",IF($D$6=Listas!$A$3,K32,H32),0)</f>
        <v>0</v>
      </c>
      <c r="M32" s="387" t="str">
        <f>IF(C32&lt;&gt;"",IF(D32="",Listas!$B$73,IF(E32="",Listas!$B$74,IF(F32=0,Listas!$B$75,IF(G32=0,Listas!$B$76,IF(I32="",Listas!$B$77,""))))),"")</f>
        <v/>
      </c>
    </row>
    <row r="33" spans="1:13" ht="15.75" customHeight="1" thickBot="1" x14ac:dyDescent="0.3">
      <c r="A33" s="276" t="s">
        <v>856</v>
      </c>
      <c r="B33" s="89"/>
      <c r="C33" s="408"/>
      <c r="D33" s="401"/>
      <c r="E33" s="402"/>
      <c r="F33" s="403"/>
      <c r="G33" s="403"/>
      <c r="H33" s="404">
        <f t="shared" si="3"/>
        <v>0</v>
      </c>
      <c r="I33" s="389"/>
      <c r="J33" s="404">
        <f t="shared" si="4"/>
        <v>0</v>
      </c>
      <c r="K33" s="406">
        <f t="shared" si="2"/>
        <v>0</v>
      </c>
      <c r="L33" s="406">
        <f>IF(D33&lt;&gt;"",IF($D$6=Listas!$A$3,K33,H33),0)</f>
        <v>0</v>
      </c>
      <c r="M33" s="387" t="str">
        <f>IF(C33&lt;&gt;"",IF(D33="",Listas!$B$73,IF(E33="",Listas!$B$74,IF(F33=0,Listas!$B$75,IF(G33=0,Listas!$B$76,IF(I33="",Listas!$B$77,""))))),"")</f>
        <v/>
      </c>
    </row>
    <row r="34" spans="1:13" ht="15.75" customHeight="1" thickBot="1" x14ac:dyDescent="0.3">
      <c r="A34" s="277" t="s">
        <v>856</v>
      </c>
      <c r="B34" s="91"/>
      <c r="C34" s="409"/>
      <c r="D34" s="401"/>
      <c r="E34" s="402"/>
      <c r="F34" s="403"/>
      <c r="G34" s="403"/>
      <c r="H34" s="405">
        <f t="shared" si="3"/>
        <v>0</v>
      </c>
      <c r="I34" s="390"/>
      <c r="J34" s="405">
        <f t="shared" si="4"/>
        <v>0</v>
      </c>
      <c r="K34" s="407">
        <f t="shared" si="2"/>
        <v>0</v>
      </c>
      <c r="L34" s="407">
        <f>IF(D34&lt;&gt;"",IF($D$6=Listas!$A$3,K34,H34),0)</f>
        <v>0</v>
      </c>
      <c r="M34" s="387" t="str">
        <f>IF(C34&lt;&gt;"",IF(D34="",Listas!$B$73,IF(E34="",Listas!$B$74,IF(F34=0,Listas!$B$75,IF(G34=0,Listas!$B$76,IF(I34="",Listas!$B$77,""))))),"")</f>
        <v/>
      </c>
    </row>
    <row r="35" spans="1:13" ht="15.75" customHeight="1" thickBot="1" x14ac:dyDescent="0.3">
      <c r="A35" s="276" t="s">
        <v>856</v>
      </c>
      <c r="B35" s="89"/>
      <c r="C35" s="408"/>
      <c r="D35" s="401"/>
      <c r="E35" s="402"/>
      <c r="F35" s="403"/>
      <c r="G35" s="403"/>
      <c r="H35" s="404">
        <f t="shared" si="3"/>
        <v>0</v>
      </c>
      <c r="I35" s="389"/>
      <c r="J35" s="404">
        <f t="shared" si="4"/>
        <v>0</v>
      </c>
      <c r="K35" s="406">
        <f t="shared" si="2"/>
        <v>0</v>
      </c>
      <c r="L35" s="406">
        <f>IF(D35&lt;&gt;"",IF($D$6=Listas!$A$3,K35,H35),0)</f>
        <v>0</v>
      </c>
      <c r="M35" s="387" t="str">
        <f>IF(C35&lt;&gt;"",IF(D35="",Listas!$B$73,IF(E35="",Listas!$B$74,IF(F35=0,Listas!$B$75,IF(G35=0,Listas!$B$76,IF(I35="",Listas!$B$77,""))))),"")</f>
        <v/>
      </c>
    </row>
    <row r="36" spans="1:13" ht="15.75" customHeight="1" thickBot="1" x14ac:dyDescent="0.3">
      <c r="A36" s="277" t="s">
        <v>856</v>
      </c>
      <c r="B36" s="91"/>
      <c r="C36" s="409"/>
      <c r="D36" s="401"/>
      <c r="E36" s="402"/>
      <c r="F36" s="403"/>
      <c r="G36" s="403"/>
      <c r="H36" s="405">
        <f t="shared" si="3"/>
        <v>0</v>
      </c>
      <c r="I36" s="390"/>
      <c r="J36" s="405">
        <f t="shared" si="4"/>
        <v>0</v>
      </c>
      <c r="K36" s="407">
        <f t="shared" si="2"/>
        <v>0</v>
      </c>
      <c r="L36" s="407">
        <f>IF(D36&lt;&gt;"",IF($D$6=Listas!$A$3,K36,H36),0)</f>
        <v>0</v>
      </c>
      <c r="M36" s="387" t="str">
        <f>IF(C36&lt;&gt;"",IF(D36="",Listas!$B$73,IF(E36="",Listas!$B$74,IF(F36=0,Listas!$B$75,IF(G36=0,Listas!$B$76,IF(I36="",Listas!$B$77,""))))),"")</f>
        <v/>
      </c>
    </row>
    <row r="37" spans="1:13" ht="15.75" customHeight="1" thickBot="1" x14ac:dyDescent="0.3">
      <c r="A37" s="276" t="s">
        <v>856</v>
      </c>
      <c r="B37" s="89"/>
      <c r="C37" s="408"/>
      <c r="D37" s="401"/>
      <c r="E37" s="402"/>
      <c r="F37" s="403"/>
      <c r="G37" s="403"/>
      <c r="H37" s="404">
        <f t="shared" si="3"/>
        <v>0</v>
      </c>
      <c r="I37" s="389"/>
      <c r="J37" s="404">
        <f t="shared" si="4"/>
        <v>0</v>
      </c>
      <c r="K37" s="406">
        <f t="shared" si="2"/>
        <v>0</v>
      </c>
      <c r="L37" s="406">
        <f>IF(D37&lt;&gt;"",IF($D$6=Listas!$A$3,K37,H37),0)</f>
        <v>0</v>
      </c>
      <c r="M37" s="387" t="str">
        <f>IF(C37&lt;&gt;"",IF(D37="",Listas!$B$73,IF(E37="",Listas!$B$74,IF(F37=0,Listas!$B$75,IF(G37=0,Listas!$B$76,IF(I37="",Listas!$B$77,""))))),"")</f>
        <v/>
      </c>
    </row>
    <row r="38" spans="1:13" ht="15.75" customHeight="1" thickBot="1" x14ac:dyDescent="0.3">
      <c r="A38" s="277" t="s">
        <v>856</v>
      </c>
      <c r="B38" s="91"/>
      <c r="C38" s="409"/>
      <c r="D38" s="401"/>
      <c r="E38" s="402"/>
      <c r="F38" s="403"/>
      <c r="G38" s="403"/>
      <c r="H38" s="405">
        <f t="shared" si="3"/>
        <v>0</v>
      </c>
      <c r="I38" s="390"/>
      <c r="J38" s="405">
        <f t="shared" si="4"/>
        <v>0</v>
      </c>
      <c r="K38" s="407">
        <f t="shared" si="2"/>
        <v>0</v>
      </c>
      <c r="L38" s="407">
        <f>IF(D38&lt;&gt;"",IF($D$6=Listas!$A$3,K38,H38),0)</f>
        <v>0</v>
      </c>
      <c r="M38" s="387" t="str">
        <f>IF(C38&lt;&gt;"",IF(D38="",Listas!$B$73,IF(E38="",Listas!$B$74,IF(F38=0,Listas!$B$75,IF(G38=0,Listas!$B$76,IF(I38="",Listas!$B$77,""))))),"")</f>
        <v/>
      </c>
    </row>
    <row r="39" spans="1:13" ht="15.75" customHeight="1" thickBot="1" x14ac:dyDescent="0.3">
      <c r="A39" s="276" t="s">
        <v>856</v>
      </c>
      <c r="B39" s="89"/>
      <c r="C39" s="408"/>
      <c r="D39" s="401"/>
      <c r="E39" s="402"/>
      <c r="F39" s="403"/>
      <c r="G39" s="403"/>
      <c r="H39" s="404">
        <f t="shared" si="3"/>
        <v>0</v>
      </c>
      <c r="I39" s="389"/>
      <c r="J39" s="404">
        <f t="shared" si="4"/>
        <v>0</v>
      </c>
      <c r="K39" s="406">
        <f t="shared" si="2"/>
        <v>0</v>
      </c>
      <c r="L39" s="406">
        <f>IF(D39&lt;&gt;"",IF($D$6=Listas!$A$3,K39,H39),0)</f>
        <v>0</v>
      </c>
      <c r="M39" s="387" t="str">
        <f>IF(C39&lt;&gt;"",IF(D39="",Listas!$B$73,IF(E39="",Listas!$B$74,IF(F39=0,Listas!$B$75,IF(G39=0,Listas!$B$76,IF(I39="",Listas!$B$77,""))))),"")</f>
        <v/>
      </c>
    </row>
    <row r="40" spans="1:13" ht="15.75" customHeight="1" thickBot="1" x14ac:dyDescent="0.3">
      <c r="A40" s="277" t="s">
        <v>856</v>
      </c>
      <c r="B40" s="91"/>
      <c r="C40" s="409"/>
      <c r="D40" s="401"/>
      <c r="E40" s="402"/>
      <c r="F40" s="403"/>
      <c r="G40" s="403"/>
      <c r="H40" s="405">
        <f t="shared" si="3"/>
        <v>0</v>
      </c>
      <c r="I40" s="390"/>
      <c r="J40" s="405">
        <f t="shared" si="4"/>
        <v>0</v>
      </c>
      <c r="K40" s="407">
        <f t="shared" si="2"/>
        <v>0</v>
      </c>
      <c r="L40" s="407">
        <f>IF(D40&lt;&gt;"",IF($D$6=Listas!$A$3,K40,H40),0)</f>
        <v>0</v>
      </c>
      <c r="M40" s="387" t="str">
        <f>IF(C40&lt;&gt;"",IF(D40="",Listas!$B$73,IF(E40="",Listas!$B$74,IF(F40=0,Listas!$B$75,IF(G40=0,Listas!$B$76,IF(I40="",Listas!$B$77,""))))),"")</f>
        <v/>
      </c>
    </row>
    <row r="41" spans="1:13" ht="15.75" customHeight="1" thickBot="1" x14ac:dyDescent="0.3">
      <c r="A41" s="275" t="s">
        <v>857</v>
      </c>
      <c r="B41" s="365" t="s">
        <v>836</v>
      </c>
      <c r="C41" s="410"/>
      <c r="D41" s="366"/>
      <c r="E41" s="394"/>
      <c r="F41" s="381"/>
      <c r="G41" s="381"/>
      <c r="H41" s="382">
        <f>SUM(H42:H47)</f>
        <v>0</v>
      </c>
      <c r="I41" s="391"/>
      <c r="J41" s="382">
        <f>SUM(J42:J47)</f>
        <v>0</v>
      </c>
      <c r="K41" s="382">
        <f>SUM(K42:K47)</f>
        <v>0</v>
      </c>
      <c r="L41" s="382">
        <f>SUM(L42:L47)</f>
        <v>0</v>
      </c>
      <c r="M41" s="387"/>
    </row>
    <row r="42" spans="1:13" ht="15.75" customHeight="1" thickBot="1" x14ac:dyDescent="0.3">
      <c r="A42" s="276" t="s">
        <v>857</v>
      </c>
      <c r="B42" s="89"/>
      <c r="C42" s="408"/>
      <c r="D42" s="401"/>
      <c r="E42" s="402"/>
      <c r="F42" s="403"/>
      <c r="G42" s="403"/>
      <c r="H42" s="404">
        <f t="shared" ref="H42:H47" si="5">G42*F42</f>
        <v>0</v>
      </c>
      <c r="I42" s="389"/>
      <c r="J42" s="404">
        <f t="shared" ref="J42:J47" si="6">H42*I42</f>
        <v>0</v>
      </c>
      <c r="K42" s="406">
        <f t="shared" si="2"/>
        <v>0</v>
      </c>
      <c r="L42" s="406">
        <f>IF(D42&lt;&gt;"",IF($D$6=Listas!$A$3,K42,H42),0)</f>
        <v>0</v>
      </c>
      <c r="M42" s="387" t="str">
        <f>IF(C42&lt;&gt;"",IF(D42="",Listas!$B$73,IF(E42="",Listas!$B$74,IF(F42=0,Listas!$B$75,IF(G42=0,Listas!$B$76,IF(I42="",Listas!$B$77,""))))),"")</f>
        <v/>
      </c>
    </row>
    <row r="43" spans="1:13" ht="15.75" customHeight="1" thickBot="1" x14ac:dyDescent="0.3">
      <c r="A43" s="277" t="s">
        <v>857</v>
      </c>
      <c r="B43" s="91"/>
      <c r="C43" s="409"/>
      <c r="D43" s="401"/>
      <c r="E43" s="402"/>
      <c r="F43" s="403"/>
      <c r="G43" s="403"/>
      <c r="H43" s="405">
        <f t="shared" si="5"/>
        <v>0</v>
      </c>
      <c r="I43" s="390"/>
      <c r="J43" s="405">
        <f t="shared" si="6"/>
        <v>0</v>
      </c>
      <c r="K43" s="407">
        <f t="shared" si="2"/>
        <v>0</v>
      </c>
      <c r="L43" s="407">
        <f>IF(D43&lt;&gt;"",IF($D$6=Listas!$A$3,K43,H43),0)</f>
        <v>0</v>
      </c>
      <c r="M43" s="387" t="str">
        <f>IF(C43&lt;&gt;"",IF(D43="",Listas!$B$73,IF(E43="",Listas!$B$74,IF(F43=0,Listas!$B$75,IF(G43=0,Listas!$B$76,IF(I43="",Listas!$B$77,""))))),"")</f>
        <v/>
      </c>
    </row>
    <row r="44" spans="1:13" ht="15.75" customHeight="1" thickBot="1" x14ac:dyDescent="0.3">
      <c r="A44" s="276" t="s">
        <v>857</v>
      </c>
      <c r="B44" s="89"/>
      <c r="C44" s="408"/>
      <c r="D44" s="401"/>
      <c r="E44" s="402"/>
      <c r="F44" s="403"/>
      <c r="G44" s="403"/>
      <c r="H44" s="404">
        <f t="shared" si="5"/>
        <v>0</v>
      </c>
      <c r="I44" s="389"/>
      <c r="J44" s="404">
        <f t="shared" si="6"/>
        <v>0</v>
      </c>
      <c r="K44" s="406">
        <f t="shared" si="2"/>
        <v>0</v>
      </c>
      <c r="L44" s="406">
        <f>IF(D44&lt;&gt;"",IF($D$6=Listas!$A$3,K44,H44),0)</f>
        <v>0</v>
      </c>
      <c r="M44" s="387" t="str">
        <f>IF(C44&lt;&gt;"",IF(D44="",Listas!$B$73,IF(E44="",Listas!$B$74,IF(F44=0,Listas!$B$75,IF(G44=0,Listas!$B$76,IF(I44="",Listas!$B$77,""))))),"")</f>
        <v/>
      </c>
    </row>
    <row r="45" spans="1:13" ht="15.75" customHeight="1" thickBot="1" x14ac:dyDescent="0.3">
      <c r="A45" s="277" t="s">
        <v>857</v>
      </c>
      <c r="B45" s="91"/>
      <c r="C45" s="409"/>
      <c r="D45" s="401"/>
      <c r="E45" s="402"/>
      <c r="F45" s="403"/>
      <c r="G45" s="403"/>
      <c r="H45" s="405">
        <f t="shared" si="5"/>
        <v>0</v>
      </c>
      <c r="I45" s="390"/>
      <c r="J45" s="405">
        <f t="shared" si="6"/>
        <v>0</v>
      </c>
      <c r="K45" s="407">
        <f t="shared" si="2"/>
        <v>0</v>
      </c>
      <c r="L45" s="407">
        <f>IF(D45&lt;&gt;"",IF($D$6=Listas!$A$3,K45,H45),0)</f>
        <v>0</v>
      </c>
      <c r="M45" s="387" t="str">
        <f>IF(C45&lt;&gt;"",IF(D45="",Listas!$B$73,IF(E45="",Listas!$B$74,IF(F45=0,Listas!$B$75,IF(G45=0,Listas!$B$76,IF(I45="",Listas!$B$77,""))))),"")</f>
        <v/>
      </c>
    </row>
    <row r="46" spans="1:13" ht="15.75" customHeight="1" thickBot="1" x14ac:dyDescent="0.3">
      <c r="A46" s="276" t="s">
        <v>857</v>
      </c>
      <c r="B46" s="89"/>
      <c r="C46" s="408"/>
      <c r="D46" s="401"/>
      <c r="E46" s="402"/>
      <c r="F46" s="403"/>
      <c r="G46" s="403"/>
      <c r="H46" s="404">
        <f t="shared" si="5"/>
        <v>0</v>
      </c>
      <c r="I46" s="389"/>
      <c r="J46" s="404">
        <f t="shared" si="6"/>
        <v>0</v>
      </c>
      <c r="K46" s="406">
        <f t="shared" si="2"/>
        <v>0</v>
      </c>
      <c r="L46" s="406">
        <f>IF(D46&lt;&gt;"",IF($D$6=Listas!$A$3,K46,H46),0)</f>
        <v>0</v>
      </c>
      <c r="M46" s="387" t="str">
        <f>IF(C46&lt;&gt;"",IF(D46="",Listas!$B$73,IF(E46="",Listas!$B$74,IF(F46=0,Listas!$B$75,IF(G46=0,Listas!$B$76,IF(I46="",Listas!$B$77,""))))),"")</f>
        <v/>
      </c>
    </row>
    <row r="47" spans="1:13" ht="15.75" customHeight="1" thickBot="1" x14ac:dyDescent="0.3">
      <c r="A47" s="277" t="s">
        <v>857</v>
      </c>
      <c r="B47" s="91"/>
      <c r="C47" s="409"/>
      <c r="D47" s="401"/>
      <c r="E47" s="402"/>
      <c r="F47" s="403"/>
      <c r="G47" s="403"/>
      <c r="H47" s="405">
        <f t="shared" si="5"/>
        <v>0</v>
      </c>
      <c r="I47" s="390"/>
      <c r="J47" s="405">
        <f t="shared" si="6"/>
        <v>0</v>
      </c>
      <c r="K47" s="407">
        <f t="shared" si="2"/>
        <v>0</v>
      </c>
      <c r="L47" s="407">
        <f>IF(D47&lt;&gt;"",IF($D$6=Listas!$A$3,K47,H47),0)</f>
        <v>0</v>
      </c>
      <c r="M47" s="387" t="str">
        <f>IF(C47&lt;&gt;"",IF(D47="",Listas!$B$73,IF(E47="",Listas!$B$74,IF(F47=0,Listas!$B$75,IF(G47=0,Listas!$B$76,IF(I47="",Listas!$B$77,""))))),"")</f>
        <v/>
      </c>
    </row>
    <row r="48" spans="1:13" ht="15.75" customHeight="1" thickBot="1" x14ac:dyDescent="0.3">
      <c r="A48" s="275" t="s">
        <v>855</v>
      </c>
      <c r="B48" s="365" t="s">
        <v>837</v>
      </c>
      <c r="C48" s="410"/>
      <c r="D48" s="366"/>
      <c r="E48" s="394"/>
      <c r="F48" s="381"/>
      <c r="G48" s="381"/>
      <c r="H48" s="382">
        <f>SUM(H49:H54)</f>
        <v>0</v>
      </c>
      <c r="I48" s="391"/>
      <c r="J48" s="382">
        <f>SUM(J49:J54)</f>
        <v>0</v>
      </c>
      <c r="K48" s="382">
        <f>SUM(K49:K54)</f>
        <v>0</v>
      </c>
      <c r="L48" s="382"/>
      <c r="M48" s="387"/>
    </row>
    <row r="49" spans="1:13" ht="15.75" customHeight="1" thickBot="1" x14ac:dyDescent="0.3">
      <c r="A49" s="276" t="s">
        <v>855</v>
      </c>
      <c r="B49" s="89"/>
      <c r="C49" s="408"/>
      <c r="D49" s="401"/>
      <c r="E49" s="402"/>
      <c r="F49" s="403"/>
      <c r="G49" s="403"/>
      <c r="H49" s="404">
        <f t="shared" ref="H49:H54" si="7">G49*F49</f>
        <v>0</v>
      </c>
      <c r="I49" s="389"/>
      <c r="J49" s="404">
        <f t="shared" ref="J49:J54" si="8">H49*I49</f>
        <v>0</v>
      </c>
      <c r="K49" s="406">
        <f t="shared" si="2"/>
        <v>0</v>
      </c>
      <c r="L49" s="406"/>
      <c r="M49" s="387" t="str">
        <f>IF(C49&lt;&gt;"",IF(D49="",Listas!$B$73,IF(E49="",Listas!$B$74,IF(F49=0,Listas!$B$75,IF(G49=0,Listas!$B$76,IF(I49="",Listas!$B$77,""))))),"")</f>
        <v/>
      </c>
    </row>
    <row r="50" spans="1:13" ht="15.75" customHeight="1" thickBot="1" x14ac:dyDescent="0.3">
      <c r="A50" s="277" t="s">
        <v>855</v>
      </c>
      <c r="B50" s="91"/>
      <c r="C50" s="409"/>
      <c r="D50" s="401"/>
      <c r="E50" s="402"/>
      <c r="F50" s="403"/>
      <c r="G50" s="403"/>
      <c r="H50" s="405">
        <f t="shared" si="7"/>
        <v>0</v>
      </c>
      <c r="I50" s="390"/>
      <c r="J50" s="405">
        <f t="shared" si="8"/>
        <v>0</v>
      </c>
      <c r="K50" s="407">
        <f t="shared" si="2"/>
        <v>0</v>
      </c>
      <c r="L50" s="407"/>
      <c r="M50" s="387" t="str">
        <f>IF(C50&lt;&gt;"",IF(D50="",Listas!$B$73,IF(E50="",Listas!$B$74,IF(F50=0,Listas!$B$75,IF(G50=0,Listas!$B$76,IF(I50="",Listas!$B$77,""))))),"")</f>
        <v/>
      </c>
    </row>
    <row r="51" spans="1:13" ht="15.75" customHeight="1" thickBot="1" x14ac:dyDescent="0.3">
      <c r="A51" s="276" t="s">
        <v>855</v>
      </c>
      <c r="B51" s="89"/>
      <c r="C51" s="408"/>
      <c r="D51" s="401"/>
      <c r="E51" s="402"/>
      <c r="F51" s="403"/>
      <c r="G51" s="403"/>
      <c r="H51" s="404">
        <f t="shared" si="7"/>
        <v>0</v>
      </c>
      <c r="I51" s="389"/>
      <c r="J51" s="404">
        <f t="shared" si="8"/>
        <v>0</v>
      </c>
      <c r="K51" s="406">
        <f t="shared" si="2"/>
        <v>0</v>
      </c>
      <c r="L51" s="406"/>
      <c r="M51" s="387" t="str">
        <f>IF(C51&lt;&gt;"",IF(D51="",Listas!$B$73,IF(E51="",Listas!$B$74,IF(F51=0,Listas!$B$75,IF(G51=0,Listas!$B$76,IF(I51="",Listas!$B$77,""))))),"")</f>
        <v/>
      </c>
    </row>
    <row r="52" spans="1:13" ht="15.75" customHeight="1" thickBot="1" x14ac:dyDescent="0.3">
      <c r="A52" s="277" t="s">
        <v>855</v>
      </c>
      <c r="B52" s="91"/>
      <c r="C52" s="409"/>
      <c r="D52" s="401"/>
      <c r="E52" s="402"/>
      <c r="F52" s="403"/>
      <c r="G52" s="403"/>
      <c r="H52" s="405">
        <f t="shared" si="7"/>
        <v>0</v>
      </c>
      <c r="I52" s="390"/>
      <c r="J52" s="405">
        <f t="shared" si="8"/>
        <v>0</v>
      </c>
      <c r="K52" s="407">
        <f t="shared" si="2"/>
        <v>0</v>
      </c>
      <c r="L52" s="407"/>
      <c r="M52" s="387" t="str">
        <f>IF(C52&lt;&gt;"",IF(D52="",Listas!$B$73,IF(E52="",Listas!$B$74,IF(F52=0,Listas!$B$75,IF(G52=0,Listas!$B$76,IF(I52="",Listas!$B$77,""))))),"")</f>
        <v/>
      </c>
    </row>
    <row r="53" spans="1:13" ht="15.75" customHeight="1" thickBot="1" x14ac:dyDescent="0.3">
      <c r="A53" s="276" t="s">
        <v>855</v>
      </c>
      <c r="B53" s="89"/>
      <c r="C53" s="408"/>
      <c r="D53" s="401"/>
      <c r="E53" s="402"/>
      <c r="F53" s="403"/>
      <c r="G53" s="403"/>
      <c r="H53" s="404">
        <f t="shared" si="7"/>
        <v>0</v>
      </c>
      <c r="I53" s="389"/>
      <c r="J53" s="404">
        <f t="shared" si="8"/>
        <v>0</v>
      </c>
      <c r="K53" s="406">
        <f t="shared" si="2"/>
        <v>0</v>
      </c>
      <c r="L53" s="406"/>
      <c r="M53" s="387" t="str">
        <f>IF(C53&lt;&gt;"",IF(D53="",Listas!$B$73,IF(E53="",Listas!$B$74,IF(F53=0,Listas!$B$75,IF(G53=0,Listas!$B$76,IF(I53="",Listas!$B$77,""))))),"")</f>
        <v/>
      </c>
    </row>
    <row r="54" spans="1:13" ht="15.75" customHeight="1" thickBot="1" x14ac:dyDescent="0.3">
      <c r="A54" s="277" t="s">
        <v>855</v>
      </c>
      <c r="B54" s="91"/>
      <c r="C54" s="409"/>
      <c r="D54" s="401"/>
      <c r="E54" s="402"/>
      <c r="F54" s="403"/>
      <c r="G54" s="403"/>
      <c r="H54" s="405">
        <f t="shared" si="7"/>
        <v>0</v>
      </c>
      <c r="I54" s="390"/>
      <c r="J54" s="405">
        <f t="shared" si="8"/>
        <v>0</v>
      </c>
      <c r="K54" s="407">
        <f t="shared" si="2"/>
        <v>0</v>
      </c>
      <c r="L54" s="407"/>
      <c r="M54" s="387" t="str">
        <f>IF(C54&lt;&gt;"",IF(D54="",Listas!$B$73,IF(E54="",Listas!$B$74,IF(F54=0,Listas!$B$75,IF(G54=0,Listas!$B$76,IF(I54="",Listas!$B$77,""))))),"")</f>
        <v/>
      </c>
    </row>
    <row r="55" spans="1:13" x14ac:dyDescent="0.25">
      <c r="A55" s="278" t="s">
        <v>542</v>
      </c>
      <c r="B55" s="59" t="str">
        <f>AutoBaremo!B274</f>
        <v xml:space="preserve">OBSERVACIONES: </v>
      </c>
      <c r="C55" s="55"/>
      <c r="D55" s="56"/>
      <c r="E55" s="57"/>
      <c r="F55" s="57"/>
      <c r="G55" s="57"/>
      <c r="H55" s="57"/>
      <c r="I55" s="347"/>
      <c r="J55" s="57"/>
      <c r="K55" s="57"/>
      <c r="L55" s="57"/>
    </row>
    <row r="56" spans="1:13" x14ac:dyDescent="0.25">
      <c r="A56" s="278" t="s">
        <v>542</v>
      </c>
      <c r="B56" s="54"/>
      <c r="C56" s="473"/>
      <c r="D56" s="473"/>
      <c r="E56" s="473"/>
      <c r="F56" s="473"/>
      <c r="G56" s="473"/>
      <c r="H56" s="473"/>
      <c r="I56" s="473"/>
      <c r="J56" s="473"/>
      <c r="K56" s="473"/>
      <c r="L56" s="473"/>
    </row>
    <row r="57" spans="1:13" ht="15.75" thickBot="1" x14ac:dyDescent="0.3">
      <c r="A57" s="278" t="s">
        <v>542</v>
      </c>
      <c r="B57" s="54"/>
      <c r="C57" s="55"/>
      <c r="D57" s="56"/>
      <c r="E57" s="57"/>
      <c r="F57" s="57"/>
      <c r="G57" s="57"/>
      <c r="H57" s="57"/>
      <c r="I57" s="347"/>
      <c r="J57" s="57"/>
      <c r="K57" s="57"/>
      <c r="L57" s="57"/>
    </row>
    <row r="58" spans="1:13" x14ac:dyDescent="0.25">
      <c r="A58" s="279" t="s">
        <v>542</v>
      </c>
      <c r="B58" s="61"/>
      <c r="C58" s="62"/>
      <c r="D58" s="98"/>
      <c r="E58" s="348"/>
      <c r="F58" s="348"/>
      <c r="G58" s="348"/>
      <c r="H58" s="349"/>
      <c r="I58" s="347"/>
      <c r="J58" s="350"/>
      <c r="K58" s="57"/>
      <c r="L58" s="57"/>
    </row>
    <row r="59" spans="1:13" x14ac:dyDescent="0.25">
      <c r="A59" s="280" t="s">
        <v>542</v>
      </c>
      <c r="B59" s="63" t="s">
        <v>377</v>
      </c>
      <c r="C59" s="64" t="str">
        <f>AutoBaremo!C280</f>
        <v/>
      </c>
      <c r="D59" s="476" t="str">
        <f>AutoBaremo!D280</f>
        <v/>
      </c>
      <c r="E59" s="476"/>
      <c r="F59" s="351"/>
      <c r="G59" s="351"/>
      <c r="H59" s="352"/>
      <c r="I59" s="353"/>
      <c r="J59" s="351"/>
      <c r="K59" s="65"/>
      <c r="L59" s="65"/>
    </row>
    <row r="60" spans="1:13" x14ac:dyDescent="0.25">
      <c r="A60" s="280" t="s">
        <v>542</v>
      </c>
      <c r="B60" s="63" t="s">
        <v>378</v>
      </c>
      <c r="C60" s="68" t="str">
        <f>AutoBaremo!C281</f>
        <v/>
      </c>
      <c r="D60" s="102"/>
      <c r="E60" s="351"/>
      <c r="F60" s="351"/>
      <c r="G60" s="351"/>
      <c r="H60" s="352"/>
      <c r="I60" s="353"/>
      <c r="J60" s="351"/>
      <c r="K60" s="65"/>
      <c r="L60" s="65"/>
    </row>
    <row r="61" spans="1:13" x14ac:dyDescent="0.25">
      <c r="A61" s="279" t="s">
        <v>542</v>
      </c>
      <c r="B61" s="69"/>
      <c r="C61" s="70"/>
      <c r="D61" s="103"/>
      <c r="E61" s="350"/>
      <c r="F61" s="350"/>
      <c r="G61" s="350"/>
      <c r="H61" s="354"/>
      <c r="I61" s="347"/>
      <c r="J61" s="350"/>
      <c r="K61" s="57"/>
      <c r="L61" s="57"/>
    </row>
    <row r="62" spans="1:13" x14ac:dyDescent="0.25">
      <c r="A62" s="279" t="s">
        <v>542</v>
      </c>
      <c r="B62" s="69"/>
      <c r="C62" s="70"/>
      <c r="D62" s="103"/>
      <c r="E62" s="350"/>
      <c r="F62" s="350"/>
      <c r="G62" s="350"/>
      <c r="H62" s="354"/>
      <c r="I62" s="347"/>
      <c r="J62" s="350"/>
      <c r="K62" s="57"/>
      <c r="L62" s="57"/>
    </row>
    <row r="63" spans="1:13" x14ac:dyDescent="0.25">
      <c r="A63" s="279" t="s">
        <v>542</v>
      </c>
      <c r="B63" s="69"/>
      <c r="C63" s="70"/>
      <c r="D63" s="103"/>
      <c r="E63" s="350"/>
      <c r="F63" s="350"/>
      <c r="G63" s="350"/>
      <c r="H63" s="354"/>
      <c r="I63" s="347"/>
      <c r="J63" s="350"/>
      <c r="K63" s="57"/>
      <c r="L63" s="57"/>
    </row>
    <row r="64" spans="1:13" ht="15.75" thickBot="1" x14ac:dyDescent="0.3">
      <c r="A64" s="279" t="s">
        <v>542</v>
      </c>
      <c r="B64" s="71"/>
      <c r="C64" s="72"/>
      <c r="D64" s="355"/>
      <c r="E64" s="356"/>
      <c r="F64" s="356"/>
      <c r="G64" s="356"/>
      <c r="H64" s="357"/>
      <c r="I64" s="347"/>
      <c r="J64" s="350"/>
      <c r="K64" s="57"/>
      <c r="L64" s="57"/>
    </row>
    <row r="65" spans="1:12" ht="14.25" customHeight="1" x14ac:dyDescent="0.25">
      <c r="A65" s="282"/>
      <c r="B65" s="74"/>
      <c r="C65" s="74"/>
      <c r="D65" s="74"/>
      <c r="E65" s="75"/>
      <c r="F65" s="75"/>
      <c r="G65" s="75"/>
      <c r="H65" s="75"/>
      <c r="I65" s="358"/>
      <c r="J65" s="75"/>
      <c r="K65" s="75"/>
      <c r="L65" s="75"/>
    </row>
  </sheetData>
  <sheetProtection algorithmName="SHA-512" hashValue="yucvByi8S5lrQrLhDA11JAGAw4+PrGZgrsYr5I/agGrQhBcFm4AxCL/AQrYQ8f38PYmQzQZQJduFKfPIU2dSXw==" saltValue="ZOqHX6nas4Lojc+pg7kzXw==" spinCount="100000" sheet="1" selectLockedCells="1" autoFilter="0"/>
  <autoFilter ref="A7:C7"/>
  <mergeCells count="7">
    <mergeCell ref="D59:E59"/>
    <mergeCell ref="C56:L56"/>
    <mergeCell ref="B1:H1"/>
    <mergeCell ref="J1:L1"/>
    <mergeCell ref="C2:L2"/>
    <mergeCell ref="C3:L3"/>
    <mergeCell ref="C4:D4"/>
  </mergeCells>
  <dataValidations count="1">
    <dataValidation type="decimal" allowBlank="1" showInputMessage="1" showErrorMessage="1" sqref="I42:I47 I11:I40 I49:I54">
      <formula1>0</formula1>
      <formula2>1</formula2>
    </dataValidation>
  </dataValidations>
  <pageMargins left="0.35433070866141736" right="0.15748031496062992" top="1.1417322834645669" bottom="0.78740157480314965" header="0.31496062992125984" footer="0.31496062992125984"/>
  <pageSetup paperSize="9" scale="61" fitToHeight="0" orientation="portrait" r:id="rId1"/>
  <headerFooter scaleWithDoc="0">
    <oddHeader>&amp;L&amp;G</oddHeader>
    <oddFooter>&amp;L&amp;"Eras Demi ITC,Normal"&amp;8&amp;G&amp;R&amp;8&amp;P/&amp;N</oddFooter>
  </headerFooter>
  <drawing r:id="rId2"/>
  <legacyDrawingHF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Listas!$A$2:$A$3</xm:f>
          </x14:formula1>
          <xm:sqref>D6</xm:sqref>
        </x14:dataValidation>
        <x14:dataValidation type="list" allowBlank="1" showInputMessage="1" showErrorMessage="1">
          <x14:formula1>
            <xm:f>PlanInversion!$C$10:$C$30</xm:f>
          </x14:formula1>
          <xm:sqref>D42:D47 D11:D40 D49:D54</xm:sqref>
        </x14:dataValidation>
        <x14:dataValidation type="list" allowBlank="1" showInputMessage="1" showErrorMessage="1">
          <x14:formula1>
            <xm:f>Listas!$A$73:$A$79</xm:f>
          </x14:formula1>
          <xm:sqref>E11:E40 E42:E47 E49:E54</xm:sqref>
        </x14:dataValidation>
        <x14:dataValidation type="decimal" allowBlank="1" showInputMessage="1" showErrorMessage="1">
          <x14:formula1>
            <xm:f>Listas!$A$64</xm:f>
          </x14:formula1>
          <x14:formula2>
            <xm:f>Listas!$A$65</xm:f>
          </x14:formula2>
          <xm:sqref>G42:G47 G11:G40 G49:G54</xm:sqref>
        </x14:dataValidation>
        <x14:dataValidation type="decimal" allowBlank="1" showInputMessage="1" showErrorMessage="1">
          <x14:formula1>
            <xm:f>Listas!$A$64</xm:f>
          </x14:formula1>
          <x14:formula2>
            <xm:f>Listas!$A$65</xm:f>
          </x14:formula2>
          <xm:sqref>F42:F47 F11:F40 F49:F54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rgb="FFFFCC00"/>
    <pageSetUpPr fitToPage="1"/>
  </sheetPr>
  <dimension ref="A1:K42"/>
  <sheetViews>
    <sheetView zoomScaleNormal="100" zoomScaleSheetLayoutView="110" workbookViewId="0">
      <selection activeCell="E7" sqref="E7:F7"/>
    </sheetView>
  </sheetViews>
  <sheetFormatPr baseColWidth="10" defaultColWidth="11.42578125" defaultRowHeight="15" x14ac:dyDescent="0.25"/>
  <cols>
    <col min="1" max="1" width="6.85546875" customWidth="1"/>
    <col min="2" max="2" width="7.5703125" customWidth="1"/>
    <col min="3" max="3" width="24.5703125" customWidth="1"/>
    <col min="4" max="4" width="31.42578125" customWidth="1"/>
    <col min="5" max="5" width="15" customWidth="1"/>
    <col min="6" max="6" width="8.140625" customWidth="1"/>
    <col min="7" max="7" width="15" customWidth="1"/>
    <col min="8" max="8" width="8.5703125" customWidth="1"/>
    <col min="9" max="10" width="15" customWidth="1"/>
    <col min="11" max="11" width="14" customWidth="1"/>
  </cols>
  <sheetData>
    <row r="1" spans="1:11" ht="24.75" customHeight="1" thickTop="1" thickBot="1" x14ac:dyDescent="0.4">
      <c r="A1" s="281"/>
      <c r="B1" s="447" t="s">
        <v>886</v>
      </c>
      <c r="C1" s="448"/>
      <c r="D1" s="448"/>
      <c r="E1" s="448"/>
      <c r="F1" s="448"/>
      <c r="G1" s="448"/>
      <c r="H1" s="398"/>
      <c r="I1" s="399" t="str">
        <f>AutoBaremo!L1</f>
        <v xml:space="preserve">  GDR-JA-07 V.1.2 Diciembre 2017</v>
      </c>
      <c r="J1" s="399"/>
      <c r="K1" s="400"/>
    </row>
    <row r="2" spans="1:11" ht="16.5" thickTop="1" thickBot="1" x14ac:dyDescent="0.3">
      <c r="A2" s="281"/>
      <c r="B2" s="263" t="str">
        <f>AutoBaremo!B2</f>
        <v>Proyecto:</v>
      </c>
      <c r="C2" s="480" t="str">
        <f>IF(AutoBaremo!C2:K2=0,"",AutoBaremo!C2:K2)</f>
        <v/>
      </c>
      <c r="D2" s="481"/>
      <c r="E2" s="481"/>
      <c r="F2" s="481"/>
      <c r="G2" s="481"/>
      <c r="H2" s="481"/>
      <c r="I2" s="481"/>
      <c r="J2" s="481"/>
      <c r="K2" s="482"/>
    </row>
    <row r="3" spans="1:11" ht="15.75" customHeight="1" thickTop="1" thickBot="1" x14ac:dyDescent="0.3">
      <c r="A3" s="281"/>
      <c r="B3" s="263" t="str">
        <f>AutoBaremo!B3</f>
        <v>Solicitante:</v>
      </c>
      <c r="C3" s="480" t="str">
        <f>IF(AutoBaremo!C3:K3=0,"",AutoBaremo!C3:K3)</f>
        <v/>
      </c>
      <c r="D3" s="481"/>
      <c r="E3" s="481"/>
      <c r="F3" s="481"/>
      <c r="G3" s="481"/>
      <c r="H3" s="481"/>
      <c r="I3" s="481"/>
      <c r="J3" s="481"/>
      <c r="K3" s="482"/>
    </row>
    <row r="4" spans="1:11" ht="16.5" thickTop="1" thickBot="1" x14ac:dyDescent="0.3">
      <c r="A4" s="281"/>
      <c r="B4" s="263" t="str">
        <f>AutoBaremo!B4</f>
        <v>Municipio:</v>
      </c>
      <c r="C4" s="466" t="str">
        <f>IF(AutoBaremo!C4:K4=0,"",AutoBaremo!C4:K4)</f>
        <v/>
      </c>
      <c r="D4" s="466"/>
      <c r="E4" s="29"/>
      <c r="F4" s="260"/>
      <c r="G4" s="107"/>
      <c r="H4" s="260"/>
      <c r="I4" s="107"/>
      <c r="J4" s="107"/>
      <c r="K4" s="260"/>
    </row>
    <row r="5" spans="1:11" ht="16.5" thickTop="1" thickBot="1" x14ac:dyDescent="0.3">
      <c r="A5" s="281"/>
      <c r="B5" s="263" t="str">
        <f>AutoBaremo!B5</f>
        <v>Fecha</v>
      </c>
      <c r="C5" s="32" t="str">
        <f>IF(AutoBaremo!C5:K5=0,"",AutoBaremo!C5:K5)</f>
        <v/>
      </c>
      <c r="D5" s="361" t="s">
        <v>823</v>
      </c>
      <c r="E5" s="393">
        <f>CuadroPresupuesto!D6</f>
        <v>0</v>
      </c>
      <c r="F5" s="262"/>
      <c r="G5" s="261"/>
      <c r="H5" s="262"/>
      <c r="I5" s="261"/>
      <c r="J5" s="261"/>
      <c r="K5" s="262"/>
    </row>
    <row r="6" spans="1:11" ht="9" customHeight="1" thickTop="1" x14ac:dyDescent="0.25">
      <c r="A6" s="272" t="s">
        <v>555</v>
      </c>
      <c r="B6" s="123"/>
      <c r="C6" s="35"/>
      <c r="D6" s="35"/>
      <c r="E6" s="35"/>
      <c r="F6" s="35"/>
      <c r="G6" s="35"/>
      <c r="H6" s="35"/>
      <c r="I6" s="35"/>
      <c r="J6" s="35"/>
      <c r="K6" s="35"/>
    </row>
    <row r="7" spans="1:11" ht="37.5" thickBot="1" x14ac:dyDescent="0.3">
      <c r="A7" s="274" t="s">
        <v>802</v>
      </c>
      <c r="B7" s="108" t="s">
        <v>702</v>
      </c>
      <c r="C7" s="109"/>
      <c r="D7" s="109"/>
      <c r="E7" s="474">
        <f>YEAR(AutoBaremo!C5)</f>
        <v>1900</v>
      </c>
      <c r="F7" s="474"/>
      <c r="G7" s="474">
        <f>E7+1</f>
        <v>1901</v>
      </c>
      <c r="H7" s="474"/>
      <c r="I7" s="110" t="s">
        <v>368</v>
      </c>
      <c r="J7" s="110"/>
      <c r="K7" s="367" t="s">
        <v>847</v>
      </c>
    </row>
    <row r="8" spans="1:11" ht="15.75" thickBot="1" x14ac:dyDescent="0.3">
      <c r="A8" s="275" t="s">
        <v>720</v>
      </c>
      <c r="B8" s="479" t="s">
        <v>724</v>
      </c>
      <c r="C8" s="479"/>
      <c r="D8" s="479"/>
      <c r="E8" s="86">
        <f>E9+E21</f>
        <v>0</v>
      </c>
      <c r="F8" s="87">
        <f>IFERROR(E8/$I$8,0)</f>
        <v>0</v>
      </c>
      <c r="G8" s="86">
        <f>G9+G21</f>
        <v>0</v>
      </c>
      <c r="H8" s="87">
        <f>IFERROR(G8/$I$8,0)</f>
        <v>0</v>
      </c>
      <c r="I8" s="253">
        <f>I9+I21</f>
        <v>0</v>
      </c>
      <c r="J8" s="111">
        <f>IFERROR((E8+G8)/I8,0)</f>
        <v>0</v>
      </c>
      <c r="K8" s="253">
        <f>K9+K21</f>
        <v>0</v>
      </c>
    </row>
    <row r="9" spans="1:11" ht="15.75" customHeight="1" thickBot="1" x14ac:dyDescent="0.3">
      <c r="A9" s="275" t="s">
        <v>720</v>
      </c>
      <c r="B9" s="365" t="s">
        <v>703</v>
      </c>
      <c r="C9" s="365"/>
      <c r="D9" s="365"/>
      <c r="E9" s="86">
        <f>SUM(E10:E20)</f>
        <v>0</v>
      </c>
      <c r="F9" s="87">
        <f t="shared" ref="F9" si="0">IFERROR(E9/E$8,0)</f>
        <v>0</v>
      </c>
      <c r="G9" s="86">
        <f>SUM(G10:G20)</f>
        <v>0</v>
      </c>
      <c r="H9" s="87">
        <f t="shared" ref="H9" si="1">IFERROR(G9/G$8,0)</f>
        <v>0</v>
      </c>
      <c r="I9" s="86">
        <f>SUM(I10:I20)</f>
        <v>0</v>
      </c>
      <c r="J9" s="112">
        <f t="shared" ref="J9:J30" si="2">IFERROR(I9/I$8,0)</f>
        <v>0</v>
      </c>
      <c r="K9" s="86">
        <f>SUM(K10:K20)</f>
        <v>0</v>
      </c>
    </row>
    <row r="10" spans="1:11" ht="15.75" thickBot="1" x14ac:dyDescent="0.3">
      <c r="A10" s="276" t="s">
        <v>720</v>
      </c>
      <c r="B10" s="89"/>
      <c r="C10" s="456" t="s">
        <v>704</v>
      </c>
      <c r="D10" s="457"/>
      <c r="E10" s="52">
        <v>0</v>
      </c>
      <c r="F10" s="90">
        <f>IFERROR(E10/E$8,0)</f>
        <v>0</v>
      </c>
      <c r="G10" s="52">
        <v>0</v>
      </c>
      <c r="H10" s="90">
        <f>IFERROR(G10/G$8,0)</f>
        <v>0</v>
      </c>
      <c r="I10" s="113">
        <f>E10+G10</f>
        <v>0</v>
      </c>
      <c r="J10" s="114">
        <f t="shared" si="2"/>
        <v>0</v>
      </c>
      <c r="K10" s="113">
        <f>IF(CuadroPresupuesto!$D$6=Listas!$A$3,SUMIF(CuadroPresupuesto!D$11:D$54,PlanInversion!C10,CuadroPresupuesto!K$11:K$54),SUMIF(CuadroPresupuesto!D$11:D$54,PlanInversion!C10,CuadroPresupuesto!H$11:H$54))</f>
        <v>0</v>
      </c>
    </row>
    <row r="11" spans="1:11" ht="15.75" customHeight="1" thickBot="1" x14ac:dyDescent="0.3">
      <c r="A11" s="277" t="s">
        <v>720</v>
      </c>
      <c r="B11" s="91"/>
      <c r="C11" s="458" t="s">
        <v>705</v>
      </c>
      <c r="D11" s="459"/>
      <c r="E11" s="52">
        <v>0</v>
      </c>
      <c r="F11" s="92">
        <f t="shared" ref="F11:F20" si="3">IFERROR(E11/E$8,0)</f>
        <v>0</v>
      </c>
      <c r="G11" s="52">
        <v>0</v>
      </c>
      <c r="H11" s="92">
        <f t="shared" ref="H11" si="4">IFERROR(G11/G$8,0)</f>
        <v>0</v>
      </c>
      <c r="I11" s="115">
        <f t="shared" ref="I11:I20" si="5">E11+G11</f>
        <v>0</v>
      </c>
      <c r="J11" s="116">
        <f t="shared" si="2"/>
        <v>0</v>
      </c>
      <c r="K11" s="115">
        <f>IF(CuadroPresupuesto!$D$6=Listas!$A$3,SUMIF(CuadroPresupuesto!D$11:D$54,PlanInversion!C11,CuadroPresupuesto!K$11:K$54),SUMIF(CuadroPresupuesto!D$11:D$54,PlanInversion!C11,CuadroPresupuesto!H$11:H$54))</f>
        <v>0</v>
      </c>
    </row>
    <row r="12" spans="1:11" ht="15.75" thickBot="1" x14ac:dyDescent="0.3">
      <c r="A12" s="276" t="s">
        <v>720</v>
      </c>
      <c r="B12" s="89"/>
      <c r="C12" s="456" t="s">
        <v>706</v>
      </c>
      <c r="D12" s="457"/>
      <c r="E12" s="52">
        <v>0</v>
      </c>
      <c r="F12" s="90">
        <f t="shared" si="3"/>
        <v>0</v>
      </c>
      <c r="G12" s="52">
        <v>0</v>
      </c>
      <c r="H12" s="90">
        <f t="shared" ref="H12" si="6">IFERROR(G12/G$8,0)</f>
        <v>0</v>
      </c>
      <c r="I12" s="113">
        <f t="shared" si="5"/>
        <v>0</v>
      </c>
      <c r="J12" s="114">
        <f t="shared" si="2"/>
        <v>0</v>
      </c>
      <c r="K12" s="113">
        <f>IF(CuadroPresupuesto!$D$6=Listas!$A$3,SUMIF(CuadroPresupuesto!D$11:D$54,PlanInversion!C12,CuadroPresupuesto!K$11:K$54),SUMIF(CuadroPresupuesto!D$11:D$54,PlanInversion!C12,CuadroPresupuesto!H$11:H$54))</f>
        <v>0</v>
      </c>
    </row>
    <row r="13" spans="1:11" ht="15.75" thickBot="1" x14ac:dyDescent="0.3">
      <c r="A13" s="277" t="s">
        <v>720</v>
      </c>
      <c r="B13" s="91"/>
      <c r="C13" s="458" t="s">
        <v>707</v>
      </c>
      <c r="D13" s="459"/>
      <c r="E13" s="52">
        <v>0</v>
      </c>
      <c r="F13" s="92">
        <f t="shared" si="3"/>
        <v>0</v>
      </c>
      <c r="G13" s="52">
        <v>0</v>
      </c>
      <c r="H13" s="92">
        <f t="shared" ref="H13" si="7">IFERROR(G13/G$8,0)</f>
        <v>0</v>
      </c>
      <c r="I13" s="115">
        <f t="shared" si="5"/>
        <v>0</v>
      </c>
      <c r="J13" s="116">
        <f t="shared" si="2"/>
        <v>0</v>
      </c>
      <c r="K13" s="115">
        <f>IF(CuadroPresupuesto!$D$6=Listas!$A$3,SUMIF(CuadroPresupuesto!D$11:D$54,PlanInversion!C13,CuadroPresupuesto!K$11:K$54),SUMIF(CuadroPresupuesto!D$11:D$54,PlanInversion!C13,CuadroPresupuesto!H$11:H$54))</f>
        <v>0</v>
      </c>
    </row>
    <row r="14" spans="1:11" ht="15.75" thickBot="1" x14ac:dyDescent="0.3">
      <c r="A14" s="276" t="s">
        <v>720</v>
      </c>
      <c r="B14" s="89"/>
      <c r="C14" s="456" t="s">
        <v>708</v>
      </c>
      <c r="D14" s="457"/>
      <c r="E14" s="52">
        <v>0</v>
      </c>
      <c r="F14" s="90">
        <f t="shared" si="3"/>
        <v>0</v>
      </c>
      <c r="G14" s="52">
        <v>0</v>
      </c>
      <c r="H14" s="90">
        <f t="shared" ref="H14" si="8">IFERROR(G14/G$8,0)</f>
        <v>0</v>
      </c>
      <c r="I14" s="113">
        <f t="shared" si="5"/>
        <v>0</v>
      </c>
      <c r="J14" s="114">
        <f t="shared" si="2"/>
        <v>0</v>
      </c>
      <c r="K14" s="113">
        <f>IF(CuadroPresupuesto!$D$6=Listas!$A$3,SUMIF(CuadroPresupuesto!D$11:D$54,PlanInversion!C14,CuadroPresupuesto!K$11:K$54),SUMIF(CuadroPresupuesto!D$11:D$54,PlanInversion!C14,CuadroPresupuesto!H$11:H$54))</f>
        <v>0</v>
      </c>
    </row>
    <row r="15" spans="1:11" ht="15.75" thickBot="1" x14ac:dyDescent="0.3">
      <c r="A15" s="277" t="s">
        <v>720</v>
      </c>
      <c r="B15" s="91"/>
      <c r="C15" s="117" t="s">
        <v>709</v>
      </c>
      <c r="D15" s="118"/>
      <c r="E15" s="52">
        <v>0</v>
      </c>
      <c r="F15" s="92">
        <f t="shared" si="3"/>
        <v>0</v>
      </c>
      <c r="G15" s="52">
        <v>0</v>
      </c>
      <c r="H15" s="92">
        <f t="shared" ref="H15" si="9">IFERROR(G15/G$8,0)</f>
        <v>0</v>
      </c>
      <c r="I15" s="115">
        <f t="shared" si="5"/>
        <v>0</v>
      </c>
      <c r="J15" s="116">
        <f t="shared" si="2"/>
        <v>0</v>
      </c>
      <c r="K15" s="115">
        <f>IF(CuadroPresupuesto!$D$6=Listas!$A$3,SUMIF(CuadroPresupuesto!D$11:D$54,PlanInversion!C15,CuadroPresupuesto!K$11:K$54),SUMIF(CuadroPresupuesto!D$11:D$54,PlanInversion!C15,CuadroPresupuesto!H$11:H$54))</f>
        <v>0</v>
      </c>
    </row>
    <row r="16" spans="1:11" ht="15.75" thickBot="1" x14ac:dyDescent="0.3">
      <c r="A16" s="276" t="s">
        <v>720</v>
      </c>
      <c r="B16" s="89"/>
      <c r="C16" s="456" t="s">
        <v>710</v>
      </c>
      <c r="D16" s="457"/>
      <c r="E16" s="52">
        <v>0</v>
      </c>
      <c r="F16" s="90">
        <f t="shared" si="3"/>
        <v>0</v>
      </c>
      <c r="G16" s="52">
        <v>0</v>
      </c>
      <c r="H16" s="90">
        <f t="shared" ref="H16" si="10">IFERROR(G16/G$8,0)</f>
        <v>0</v>
      </c>
      <c r="I16" s="113">
        <f t="shared" si="5"/>
        <v>0</v>
      </c>
      <c r="J16" s="114">
        <f t="shared" si="2"/>
        <v>0</v>
      </c>
      <c r="K16" s="113">
        <f>IF(CuadroPresupuesto!$D$6=Listas!$A$3,SUMIF(CuadroPresupuesto!D$11:D$54,PlanInversion!C16,CuadroPresupuesto!K$11:K$54),SUMIF(CuadroPresupuesto!D$11:D$54,PlanInversion!C16,CuadroPresupuesto!H$11:H$54))</f>
        <v>0</v>
      </c>
    </row>
    <row r="17" spans="1:11" ht="15.75" thickBot="1" x14ac:dyDescent="0.3">
      <c r="A17" s="277" t="s">
        <v>720</v>
      </c>
      <c r="B17" s="91"/>
      <c r="C17" s="117" t="s">
        <v>711</v>
      </c>
      <c r="D17" s="118"/>
      <c r="E17" s="52">
        <v>0</v>
      </c>
      <c r="F17" s="92">
        <f t="shared" si="3"/>
        <v>0</v>
      </c>
      <c r="G17" s="52">
        <v>0</v>
      </c>
      <c r="H17" s="92">
        <f t="shared" ref="H17" si="11">IFERROR(G17/G$8,0)</f>
        <v>0</v>
      </c>
      <c r="I17" s="115">
        <f t="shared" si="5"/>
        <v>0</v>
      </c>
      <c r="J17" s="116">
        <f t="shared" si="2"/>
        <v>0</v>
      </c>
      <c r="K17" s="115">
        <f>IF(CuadroPresupuesto!$D$6=Listas!$A$3,SUMIF(CuadroPresupuesto!D$11:D$54,PlanInversion!C17,CuadroPresupuesto!K$11:K$54),SUMIF(CuadroPresupuesto!D$11:D$54,PlanInversion!C17,CuadroPresupuesto!H$11:H$54))</f>
        <v>0</v>
      </c>
    </row>
    <row r="18" spans="1:11" ht="15.75" thickBot="1" x14ac:dyDescent="0.3">
      <c r="A18" s="276" t="s">
        <v>720</v>
      </c>
      <c r="B18" s="89"/>
      <c r="C18" s="483" t="s">
        <v>848</v>
      </c>
      <c r="D18" s="484"/>
      <c r="E18" s="52">
        <v>0</v>
      </c>
      <c r="F18" s="90">
        <f t="shared" si="3"/>
        <v>0</v>
      </c>
      <c r="G18" s="52">
        <v>0</v>
      </c>
      <c r="H18" s="90">
        <f t="shared" ref="H18" si="12">IFERROR(G18/G$8,0)</f>
        <v>0</v>
      </c>
      <c r="I18" s="113">
        <f t="shared" si="5"/>
        <v>0</v>
      </c>
      <c r="J18" s="114">
        <f t="shared" si="2"/>
        <v>0</v>
      </c>
      <c r="K18" s="113">
        <f>IF(CuadroPresupuesto!$D$6=Listas!$A$3,SUMIF(CuadroPresupuesto!D$11:D$54,PlanInversion!C18,CuadroPresupuesto!K$11:K$54),SUMIF(CuadroPresupuesto!D$11:D$54,PlanInversion!C18,CuadroPresupuesto!H$11:H$54))</f>
        <v>0</v>
      </c>
    </row>
    <row r="19" spans="1:11" ht="15.75" thickBot="1" x14ac:dyDescent="0.3">
      <c r="A19" s="277" t="s">
        <v>720</v>
      </c>
      <c r="B19" s="91"/>
      <c r="C19" s="368" t="s">
        <v>849</v>
      </c>
      <c r="D19" s="369"/>
      <c r="E19" s="52">
        <v>0</v>
      </c>
      <c r="F19" s="92">
        <f t="shared" si="3"/>
        <v>0</v>
      </c>
      <c r="G19" s="52">
        <v>0</v>
      </c>
      <c r="H19" s="92">
        <f t="shared" ref="H19" si="13">IFERROR(G19/G$8,0)</f>
        <v>0</v>
      </c>
      <c r="I19" s="115">
        <f t="shared" si="5"/>
        <v>0</v>
      </c>
      <c r="J19" s="116">
        <f t="shared" si="2"/>
        <v>0</v>
      </c>
      <c r="K19" s="115">
        <f>IF(CuadroPresupuesto!$D$6=Listas!$A$3,SUMIF(CuadroPresupuesto!D$11:D$54,PlanInversion!C19,CuadroPresupuesto!K$11:K$54),SUMIF(CuadroPresupuesto!D$11:D$54,PlanInversion!C19,CuadroPresupuesto!H$11:H$54))</f>
        <v>0</v>
      </c>
    </row>
    <row r="20" spans="1:11" ht="15.75" thickBot="1" x14ac:dyDescent="0.3">
      <c r="A20" s="276" t="s">
        <v>720</v>
      </c>
      <c r="B20" s="89"/>
      <c r="C20" s="483" t="s">
        <v>850</v>
      </c>
      <c r="D20" s="484"/>
      <c r="E20" s="52">
        <v>0</v>
      </c>
      <c r="F20" s="90">
        <f t="shared" si="3"/>
        <v>0</v>
      </c>
      <c r="G20" s="52">
        <v>0</v>
      </c>
      <c r="H20" s="90">
        <f t="shared" ref="H20" si="14">IFERROR(G20/G$8,0)</f>
        <v>0</v>
      </c>
      <c r="I20" s="113">
        <f t="shared" si="5"/>
        <v>0</v>
      </c>
      <c r="J20" s="114">
        <f t="shared" si="2"/>
        <v>0</v>
      </c>
      <c r="K20" s="113">
        <f>IF(CuadroPresupuesto!$D$6=Listas!$A$3,SUMIF(CuadroPresupuesto!D$11:D$54,PlanInversion!C20,CuadroPresupuesto!K$11:K$54),SUMIF(CuadroPresupuesto!D$11:D$54,PlanInversion!C20,CuadroPresupuesto!H$11:H$54))</f>
        <v>0</v>
      </c>
    </row>
    <row r="21" spans="1:11" ht="15.75" customHeight="1" thickBot="1" x14ac:dyDescent="0.3">
      <c r="A21" s="275" t="s">
        <v>721</v>
      </c>
      <c r="B21" s="365" t="s">
        <v>723</v>
      </c>
      <c r="C21" s="365"/>
      <c r="D21" s="365"/>
      <c r="E21" s="86">
        <f>SUM(E22:E30)</f>
        <v>0</v>
      </c>
      <c r="F21" s="87">
        <f t="shared" ref="F21:H21" si="15">IFERROR(E21/E$8,0)</f>
        <v>0</v>
      </c>
      <c r="G21" s="86">
        <f>SUM(G22:G30)</f>
        <v>0</v>
      </c>
      <c r="H21" s="87">
        <f t="shared" si="15"/>
        <v>0</v>
      </c>
      <c r="I21" s="86">
        <f>SUM(I22:I30)</f>
        <v>0</v>
      </c>
      <c r="J21" s="112">
        <f t="shared" si="2"/>
        <v>0</v>
      </c>
      <c r="K21" s="86">
        <f>SUM(K22:K30)</f>
        <v>0</v>
      </c>
    </row>
    <row r="22" spans="1:11" ht="15.75" thickBot="1" x14ac:dyDescent="0.3">
      <c r="A22" s="276" t="s">
        <v>721</v>
      </c>
      <c r="B22" s="89"/>
      <c r="C22" s="456" t="s">
        <v>712</v>
      </c>
      <c r="D22" s="457"/>
      <c r="E22" s="52">
        <v>0</v>
      </c>
      <c r="F22" s="90">
        <f t="shared" ref="F22:H22" si="16">IFERROR(E22/E$8,0)</f>
        <v>0</v>
      </c>
      <c r="G22" s="52">
        <v>0</v>
      </c>
      <c r="H22" s="90">
        <f t="shared" si="16"/>
        <v>0</v>
      </c>
      <c r="I22" s="113">
        <f t="shared" ref="I22:I30" si="17">E22+G22</f>
        <v>0</v>
      </c>
      <c r="J22" s="119">
        <f t="shared" si="2"/>
        <v>0</v>
      </c>
      <c r="K22" s="113">
        <f>IF(CuadroPresupuesto!$D$6=Listas!$A$3,SUMIF(CuadroPresupuesto!D$11:D$54,PlanInversion!C22,CuadroPresupuesto!K$11:K$54),SUMIF(CuadroPresupuesto!D$11:D$54,PlanInversion!C22,CuadroPresupuesto!H$11:H$54))</f>
        <v>0</v>
      </c>
    </row>
    <row r="23" spans="1:11" ht="15.75" thickBot="1" x14ac:dyDescent="0.3">
      <c r="A23" s="277" t="s">
        <v>721</v>
      </c>
      <c r="B23" s="91"/>
      <c r="C23" s="458" t="s">
        <v>713</v>
      </c>
      <c r="D23" s="459"/>
      <c r="E23" s="52">
        <v>0</v>
      </c>
      <c r="F23" s="92">
        <f t="shared" ref="F23:H23" si="18">IFERROR(E23/E$8,0)</f>
        <v>0</v>
      </c>
      <c r="G23" s="52">
        <v>0</v>
      </c>
      <c r="H23" s="92">
        <f t="shared" si="18"/>
        <v>0</v>
      </c>
      <c r="I23" s="115">
        <f t="shared" si="17"/>
        <v>0</v>
      </c>
      <c r="J23" s="120">
        <f t="shared" si="2"/>
        <v>0</v>
      </c>
      <c r="K23" s="115">
        <f>IF(CuadroPresupuesto!$D$6=Listas!$A$3,SUMIF(CuadroPresupuesto!D$11:D$54,PlanInversion!C23,CuadroPresupuesto!K$11:K$54),SUMIF(CuadroPresupuesto!D$11:D$54,PlanInversion!C23,CuadroPresupuesto!H$11:H$54))</f>
        <v>0</v>
      </c>
    </row>
    <row r="24" spans="1:11" ht="15.75" thickBot="1" x14ac:dyDescent="0.3">
      <c r="A24" s="276" t="s">
        <v>721</v>
      </c>
      <c r="B24" s="89"/>
      <c r="C24" s="456" t="s">
        <v>714</v>
      </c>
      <c r="D24" s="457"/>
      <c r="E24" s="52">
        <v>0</v>
      </c>
      <c r="F24" s="90">
        <f t="shared" ref="F24:H24" si="19">IFERROR(E24/E$8,0)</f>
        <v>0</v>
      </c>
      <c r="G24" s="52">
        <v>0</v>
      </c>
      <c r="H24" s="90">
        <f t="shared" si="19"/>
        <v>0</v>
      </c>
      <c r="I24" s="113">
        <f t="shared" si="17"/>
        <v>0</v>
      </c>
      <c r="J24" s="119">
        <f t="shared" si="2"/>
        <v>0</v>
      </c>
      <c r="K24" s="113">
        <f>IF(CuadroPresupuesto!$D$6=Listas!$A$3,SUMIF(CuadroPresupuesto!D$11:D$54,PlanInversion!C24,CuadroPresupuesto!K$11:K$54),SUMIF(CuadroPresupuesto!D$11:D$54,PlanInversion!C24,CuadroPresupuesto!H$11:H$54))</f>
        <v>0</v>
      </c>
    </row>
    <row r="25" spans="1:11" ht="15.75" thickBot="1" x14ac:dyDescent="0.3">
      <c r="A25" s="277" t="s">
        <v>721</v>
      </c>
      <c r="B25" s="91"/>
      <c r="C25" s="458" t="s">
        <v>715</v>
      </c>
      <c r="D25" s="459"/>
      <c r="E25" s="52">
        <v>0</v>
      </c>
      <c r="F25" s="92">
        <f t="shared" ref="F25:H25" si="20">IFERROR(E25/E$8,0)</f>
        <v>0</v>
      </c>
      <c r="G25" s="52">
        <v>0</v>
      </c>
      <c r="H25" s="92">
        <f t="shared" si="20"/>
        <v>0</v>
      </c>
      <c r="I25" s="115">
        <f t="shared" si="17"/>
        <v>0</v>
      </c>
      <c r="J25" s="120">
        <f t="shared" si="2"/>
        <v>0</v>
      </c>
      <c r="K25" s="115">
        <f>IF(CuadroPresupuesto!$D$6=Listas!$A$3,SUMIF(CuadroPresupuesto!D$11:D$54,PlanInversion!C25,CuadroPresupuesto!K$11:K$54),SUMIF(CuadroPresupuesto!D$11:D$54,PlanInversion!C25,CuadroPresupuesto!H$11:H$54))</f>
        <v>0</v>
      </c>
    </row>
    <row r="26" spans="1:11" ht="15.75" thickBot="1" x14ac:dyDescent="0.3">
      <c r="A26" s="276" t="s">
        <v>721</v>
      </c>
      <c r="B26" s="89"/>
      <c r="C26" s="456" t="s">
        <v>716</v>
      </c>
      <c r="D26" s="457"/>
      <c r="E26" s="52">
        <v>0</v>
      </c>
      <c r="F26" s="90">
        <f t="shared" ref="F26:H26" si="21">IFERROR(E26/E$8,0)</f>
        <v>0</v>
      </c>
      <c r="G26" s="52">
        <v>0</v>
      </c>
      <c r="H26" s="90">
        <f t="shared" si="21"/>
        <v>0</v>
      </c>
      <c r="I26" s="113">
        <f t="shared" si="17"/>
        <v>0</v>
      </c>
      <c r="J26" s="119">
        <f t="shared" si="2"/>
        <v>0</v>
      </c>
      <c r="K26" s="113">
        <f>IF(CuadroPresupuesto!$D$6=Listas!$A$3,SUMIF(CuadroPresupuesto!D$11:D$54,PlanInversion!C26,CuadroPresupuesto!K$11:K$54),SUMIF(CuadroPresupuesto!D$11:D$54,PlanInversion!C26,CuadroPresupuesto!H$11:H$54))</f>
        <v>0</v>
      </c>
    </row>
    <row r="27" spans="1:11" ht="15.75" thickBot="1" x14ac:dyDescent="0.3">
      <c r="A27" s="277" t="s">
        <v>721</v>
      </c>
      <c r="B27" s="91"/>
      <c r="C27" s="458" t="s">
        <v>717</v>
      </c>
      <c r="D27" s="459"/>
      <c r="E27" s="52">
        <v>0</v>
      </c>
      <c r="F27" s="92">
        <f t="shared" ref="F27:H27" si="22">IFERROR(E27/E$8,0)</f>
        <v>0</v>
      </c>
      <c r="G27" s="52">
        <v>0</v>
      </c>
      <c r="H27" s="92">
        <f t="shared" si="22"/>
        <v>0</v>
      </c>
      <c r="I27" s="115">
        <f t="shared" si="17"/>
        <v>0</v>
      </c>
      <c r="J27" s="120">
        <f t="shared" si="2"/>
        <v>0</v>
      </c>
      <c r="K27" s="115">
        <f>IF(CuadroPresupuesto!$D$6=Listas!$A$3,SUMIF(CuadroPresupuesto!D$11:D$54,PlanInversion!C27,CuadroPresupuesto!K$11:K$54),SUMIF(CuadroPresupuesto!D$11:D$54,PlanInversion!C27,CuadroPresupuesto!H$11:H$54))</f>
        <v>0</v>
      </c>
    </row>
    <row r="28" spans="1:11" ht="15.75" thickBot="1" x14ac:dyDescent="0.3">
      <c r="A28" s="276" t="s">
        <v>720</v>
      </c>
      <c r="B28" s="89"/>
      <c r="C28" s="483" t="s">
        <v>851</v>
      </c>
      <c r="D28" s="484"/>
      <c r="E28" s="52">
        <v>0</v>
      </c>
      <c r="F28" s="90">
        <f t="shared" ref="F28:H28" si="23">IFERROR(E28/E$8,0)</f>
        <v>0</v>
      </c>
      <c r="G28" s="52">
        <v>0</v>
      </c>
      <c r="H28" s="90">
        <f t="shared" si="23"/>
        <v>0</v>
      </c>
      <c r="I28" s="113">
        <f t="shared" si="17"/>
        <v>0</v>
      </c>
      <c r="J28" s="119">
        <f t="shared" si="2"/>
        <v>0</v>
      </c>
      <c r="K28" s="113">
        <f>IF(CuadroPresupuesto!$D$6=Listas!$A$3,SUMIF(CuadroPresupuesto!D$11:D$54,PlanInversion!C28,CuadroPresupuesto!K$11:K$54),SUMIF(CuadroPresupuesto!D$11:D$54,PlanInversion!C28,CuadroPresupuesto!H$11:H$54))</f>
        <v>0</v>
      </c>
    </row>
    <row r="29" spans="1:11" ht="15.75" thickBot="1" x14ac:dyDescent="0.3">
      <c r="A29" s="277" t="s">
        <v>720</v>
      </c>
      <c r="B29" s="91"/>
      <c r="C29" s="368" t="s">
        <v>852</v>
      </c>
      <c r="D29" s="369"/>
      <c r="E29" s="52">
        <v>0</v>
      </c>
      <c r="F29" s="92">
        <f t="shared" ref="F29:H29" si="24">IFERROR(E29/E$8,0)</f>
        <v>0</v>
      </c>
      <c r="G29" s="52">
        <v>0</v>
      </c>
      <c r="H29" s="92">
        <f t="shared" si="24"/>
        <v>0</v>
      </c>
      <c r="I29" s="115">
        <f t="shared" si="17"/>
        <v>0</v>
      </c>
      <c r="J29" s="120">
        <f t="shared" si="2"/>
        <v>0</v>
      </c>
      <c r="K29" s="115">
        <f>IF(CuadroPresupuesto!$D$6=Listas!$A$3,SUMIF(CuadroPresupuesto!D$11:D$54,PlanInversion!C29,CuadroPresupuesto!K$11:K$54),SUMIF(CuadroPresupuesto!D$11:D$54,PlanInversion!C29,CuadroPresupuesto!H$11:H$54))</f>
        <v>0</v>
      </c>
    </row>
    <row r="30" spans="1:11" ht="15.75" thickBot="1" x14ac:dyDescent="0.3">
      <c r="A30" s="276" t="s">
        <v>720</v>
      </c>
      <c r="B30" s="89"/>
      <c r="C30" s="483" t="s">
        <v>853</v>
      </c>
      <c r="D30" s="484"/>
      <c r="E30" s="52">
        <v>0</v>
      </c>
      <c r="F30" s="90">
        <f t="shared" ref="F30:H30" si="25">IFERROR(E30/E$8,0)</f>
        <v>0</v>
      </c>
      <c r="G30" s="52">
        <v>0</v>
      </c>
      <c r="H30" s="90">
        <f t="shared" si="25"/>
        <v>0</v>
      </c>
      <c r="I30" s="113">
        <f t="shared" si="17"/>
        <v>0</v>
      </c>
      <c r="J30" s="119">
        <f t="shared" si="2"/>
        <v>0</v>
      </c>
      <c r="K30" s="113">
        <f>IF(CuadroPresupuesto!$D$6=Listas!$A$3,SUMIF(CuadroPresupuesto!D$11:D$54,PlanInversion!C30,CuadroPresupuesto!K$11:K$54),SUMIF(CuadroPresupuesto!D$11:D$54,PlanInversion!C30,CuadroPresupuesto!H$11:H$54))</f>
        <v>0</v>
      </c>
    </row>
    <row r="31" spans="1:11" x14ac:dyDescent="0.25">
      <c r="A31" s="278" t="s">
        <v>542</v>
      </c>
      <c r="B31" s="54"/>
      <c r="C31" s="55"/>
      <c r="D31" s="56"/>
      <c r="E31" s="57"/>
      <c r="F31" s="58"/>
      <c r="G31" s="57"/>
      <c r="H31" s="58"/>
      <c r="I31" s="57"/>
      <c r="J31" s="57"/>
      <c r="K31" s="58"/>
    </row>
    <row r="32" spans="1:11" x14ac:dyDescent="0.25">
      <c r="A32" s="278" t="s">
        <v>542</v>
      </c>
      <c r="B32" s="59" t="str">
        <f>AutoBaremo!B274</f>
        <v xml:space="preserve">OBSERVACIONES: </v>
      </c>
      <c r="C32" s="55"/>
      <c r="D32" s="56"/>
      <c r="E32" s="57"/>
      <c r="F32" s="58"/>
      <c r="G32" s="57"/>
      <c r="H32" s="58"/>
      <c r="I32" s="57"/>
      <c r="J32" s="57"/>
      <c r="K32" s="58"/>
    </row>
    <row r="33" spans="1:11" x14ac:dyDescent="0.25">
      <c r="A33" s="278" t="s">
        <v>542</v>
      </c>
      <c r="B33" s="54"/>
      <c r="C33" s="473"/>
      <c r="D33" s="473"/>
      <c r="E33" s="473"/>
      <c r="F33" s="473"/>
      <c r="G33" s="473"/>
      <c r="H33" s="473"/>
      <c r="I33" s="473"/>
      <c r="J33" s="473"/>
      <c r="K33" s="473"/>
    </row>
    <row r="34" spans="1:11" ht="15.75" thickBot="1" x14ac:dyDescent="0.3">
      <c r="A34" s="278" t="s">
        <v>542</v>
      </c>
      <c r="B34" s="54"/>
      <c r="C34" s="55"/>
      <c r="D34" s="56"/>
      <c r="E34" s="57"/>
      <c r="F34" s="58"/>
      <c r="G34" s="57"/>
      <c r="H34" s="58"/>
      <c r="I34" s="57"/>
      <c r="J34" s="57"/>
      <c r="K34" s="58"/>
    </row>
    <row r="35" spans="1:11" x14ac:dyDescent="0.25">
      <c r="A35" s="279" t="s">
        <v>542</v>
      </c>
      <c r="B35" s="61"/>
      <c r="C35" s="62"/>
      <c r="D35" s="98"/>
      <c r="E35" s="349"/>
      <c r="F35" s="58"/>
      <c r="G35" s="57"/>
      <c r="H35" s="58"/>
      <c r="I35" s="57"/>
      <c r="J35" s="57"/>
      <c r="K35" s="58"/>
    </row>
    <row r="36" spans="1:11" x14ac:dyDescent="0.25">
      <c r="A36" s="280" t="s">
        <v>542</v>
      </c>
      <c r="B36" s="63" t="s">
        <v>377</v>
      </c>
      <c r="C36" s="64" t="str">
        <f>AutoBaremo!C280</f>
        <v/>
      </c>
      <c r="D36" s="99" t="str">
        <f>AutoBaremo!D280</f>
        <v/>
      </c>
      <c r="E36" s="352"/>
      <c r="F36" s="66"/>
      <c r="G36" s="65"/>
      <c r="H36" s="66"/>
      <c r="I36" s="65"/>
      <c r="J36" s="65"/>
      <c r="K36" s="66"/>
    </row>
    <row r="37" spans="1:11" x14ac:dyDescent="0.25">
      <c r="A37" s="280" t="s">
        <v>542</v>
      </c>
      <c r="B37" s="63" t="s">
        <v>378</v>
      </c>
      <c r="C37" s="68" t="str">
        <f>AutoBaremo!C281</f>
        <v/>
      </c>
      <c r="D37" s="102"/>
      <c r="E37" s="352"/>
      <c r="F37" s="66"/>
      <c r="G37" s="65"/>
      <c r="H37" s="66"/>
      <c r="I37" s="65"/>
      <c r="J37" s="65"/>
      <c r="K37" s="66"/>
    </row>
    <row r="38" spans="1:11" x14ac:dyDescent="0.25">
      <c r="A38" s="279" t="s">
        <v>542</v>
      </c>
      <c r="B38" s="69"/>
      <c r="C38" s="70"/>
      <c r="D38" s="103"/>
      <c r="E38" s="354"/>
      <c r="F38" s="58"/>
      <c r="G38" s="57"/>
      <c r="H38" s="58"/>
      <c r="I38" s="57"/>
      <c r="J38" s="57"/>
      <c r="K38" s="58"/>
    </row>
    <row r="39" spans="1:11" x14ac:dyDescent="0.25">
      <c r="A39" s="279" t="s">
        <v>542</v>
      </c>
      <c r="B39" s="69"/>
      <c r="C39" s="70"/>
      <c r="D39" s="103"/>
      <c r="E39" s="354"/>
      <c r="F39" s="58"/>
      <c r="G39" s="57"/>
      <c r="H39" s="58"/>
      <c r="I39" s="57"/>
      <c r="J39" s="57"/>
      <c r="K39" s="58"/>
    </row>
    <row r="40" spans="1:11" x14ac:dyDescent="0.25">
      <c r="A40" s="279" t="s">
        <v>542</v>
      </c>
      <c r="B40" s="69"/>
      <c r="C40" s="70"/>
      <c r="D40" s="103"/>
      <c r="E40" s="354"/>
      <c r="F40" s="58"/>
      <c r="G40" s="57"/>
      <c r="H40" s="58"/>
      <c r="I40" s="57"/>
      <c r="J40" s="57"/>
      <c r="K40" s="58"/>
    </row>
    <row r="41" spans="1:11" ht="15.75" thickBot="1" x14ac:dyDescent="0.3">
      <c r="A41" s="279" t="s">
        <v>542</v>
      </c>
      <c r="B41" s="71"/>
      <c r="C41" s="72"/>
      <c r="D41" s="355"/>
      <c r="E41" s="357"/>
      <c r="F41" s="58"/>
      <c r="G41" s="57"/>
      <c r="H41" s="58"/>
      <c r="I41" s="57"/>
      <c r="J41" s="57"/>
      <c r="K41" s="58"/>
    </row>
    <row r="42" spans="1:11" x14ac:dyDescent="0.25">
      <c r="A42" s="282"/>
      <c r="B42" s="74"/>
      <c r="C42" s="74"/>
      <c r="D42" s="74"/>
      <c r="E42" s="75"/>
      <c r="F42" s="76"/>
      <c r="G42" s="75"/>
      <c r="H42" s="76"/>
      <c r="I42" s="75"/>
      <c r="J42" s="75"/>
      <c r="K42" s="76"/>
    </row>
  </sheetData>
  <sheetProtection algorithmName="SHA-512" hashValue="+4U/qt1ITbf1wS4aSMffP0pUCu5ylLOUlwwbLHD3PY243Ba2jMfUn6h6k9sZ4LNLI5CMmj5kcXZjxtDLhb9slA==" saltValue="pvZKHp1I4OsRnLNjGAcc0g==" spinCount="100000" sheet="1" selectLockedCells="1" autoFilter="0"/>
  <autoFilter ref="A6:C6"/>
  <mergeCells count="24">
    <mergeCell ref="C33:K33"/>
    <mergeCell ref="C22:D22"/>
    <mergeCell ref="C20:D20"/>
    <mergeCell ref="C16:D16"/>
    <mergeCell ref="C23:D23"/>
    <mergeCell ref="C28:D28"/>
    <mergeCell ref="C30:D30"/>
    <mergeCell ref="C25:D25"/>
    <mergeCell ref="C26:D26"/>
    <mergeCell ref="C27:D27"/>
    <mergeCell ref="C24:D24"/>
    <mergeCell ref="C10:D10"/>
    <mergeCell ref="C18:D18"/>
    <mergeCell ref="C11:D11"/>
    <mergeCell ref="C12:D12"/>
    <mergeCell ref="C13:D13"/>
    <mergeCell ref="C14:D14"/>
    <mergeCell ref="B1:G1"/>
    <mergeCell ref="C4:D4"/>
    <mergeCell ref="E7:F7"/>
    <mergeCell ref="G7:H7"/>
    <mergeCell ref="B8:D8"/>
    <mergeCell ref="C2:K2"/>
    <mergeCell ref="C3:K3"/>
  </mergeCells>
  <pageMargins left="0.35433070866141736" right="0.15748031496062992" top="1.1417322834645669" bottom="0.78740157480314965" header="0.31496062992125984" footer="0.31496062992125984"/>
  <pageSetup paperSize="9" scale="63" fitToHeight="0" orientation="portrait" r:id="rId1"/>
  <headerFooter scaleWithDoc="0">
    <oddHeader>&amp;L&amp;G</oddHeader>
    <oddFooter>&amp;L&amp;"Eras Demi ITC,Normal"&amp;8&amp;G&amp;R&amp;8&amp;P/&amp;N</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Listas!$A$11:$A$21</xm:f>
          </x14:formula1>
          <xm:sqref>C4:D4</xm:sqref>
        </x14:dataValidation>
        <x14:dataValidation type="list" allowBlank="1" showInputMessage="1" showErrorMessage="1">
          <x14:formula1>
            <xm:f>Listas!$A$2:$A$3</xm:f>
          </x14:formula1>
          <xm:sqref>E5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C00000"/>
    <pageSetUpPr fitToPage="1"/>
  </sheetPr>
  <dimension ref="A1:H113"/>
  <sheetViews>
    <sheetView zoomScaleNormal="100" zoomScaleSheetLayoutView="110" workbookViewId="0">
      <selection activeCell="E20" sqref="E20"/>
    </sheetView>
  </sheetViews>
  <sheetFormatPr baseColWidth="10" defaultColWidth="11.42578125" defaultRowHeight="15" x14ac:dyDescent="0.25"/>
  <cols>
    <col min="1" max="1" width="8.5703125" style="289" customWidth="1"/>
    <col min="2" max="2" width="9.28515625" style="81" customWidth="1"/>
    <col min="3" max="3" width="24.5703125" style="82" customWidth="1"/>
    <col min="4" max="4" width="34.42578125" style="83" customWidth="1"/>
    <col min="5" max="5" width="21.140625" style="84" customWidth="1"/>
    <col min="6" max="6" width="14.85546875" style="79" customWidth="1"/>
    <col min="7" max="7" width="16.42578125" style="84" customWidth="1"/>
    <col min="8" max="8" width="16.42578125" style="79" customWidth="1"/>
    <col min="9" max="16384" width="11.42578125" style="27"/>
  </cols>
  <sheetData>
    <row r="1" spans="1:8" ht="24.75" customHeight="1" thickTop="1" thickBot="1" x14ac:dyDescent="0.4">
      <c r="A1" s="281"/>
      <c r="B1" s="447" t="s">
        <v>885</v>
      </c>
      <c r="C1" s="448"/>
      <c r="D1" s="448"/>
      <c r="E1" s="448"/>
      <c r="F1" s="398"/>
      <c r="G1" s="485" t="str">
        <f>AutoBaremo!L1</f>
        <v xml:space="preserve">  GDR-JA-07 V.1.2 Diciembre 2017</v>
      </c>
      <c r="H1" s="486"/>
    </row>
    <row r="2" spans="1:8" ht="16.5" thickTop="1" thickBot="1" x14ac:dyDescent="0.3">
      <c r="A2" s="281"/>
      <c r="B2" s="263" t="str">
        <f>AutoBaremo!B2</f>
        <v>Proyecto:</v>
      </c>
      <c r="C2" s="487" t="str">
        <f>IF(AutoBaremo!C2:K2=0,"",AutoBaremo!C2:K2)</f>
        <v/>
      </c>
      <c r="D2" s="488"/>
      <c r="E2" s="488"/>
      <c r="F2" s="488"/>
      <c r="G2" s="488"/>
      <c r="H2" s="489"/>
    </row>
    <row r="3" spans="1:8" ht="15.75" customHeight="1" thickTop="1" thickBot="1" x14ac:dyDescent="0.3">
      <c r="A3" s="281"/>
      <c r="B3" s="263" t="str">
        <f>AutoBaremo!B3</f>
        <v>Solicitante:</v>
      </c>
      <c r="C3" s="480" t="str">
        <f>IF(AutoBaremo!C3:K3=0,"",AutoBaremo!C3:K3)</f>
        <v/>
      </c>
      <c r="D3" s="481"/>
      <c r="E3" s="481"/>
      <c r="F3" s="481"/>
      <c r="G3" s="481"/>
      <c r="H3" s="482"/>
    </row>
    <row r="4" spans="1:8" ht="16.5" thickTop="1" thickBot="1" x14ac:dyDescent="0.3">
      <c r="A4" s="281"/>
      <c r="B4" s="263" t="str">
        <f>AutoBaremo!B4</f>
        <v>Municipio:</v>
      </c>
      <c r="C4" s="490" t="str">
        <f>IF(AutoBaremo!C4:K4=0,"",AutoBaremo!C4:K4)</f>
        <v/>
      </c>
      <c r="D4" s="490"/>
      <c r="E4" s="259"/>
      <c r="F4" s="30"/>
      <c r="G4" s="259"/>
      <c r="H4" s="121"/>
    </row>
    <row r="5" spans="1:8" ht="16.5" thickTop="1" thickBot="1" x14ac:dyDescent="0.3">
      <c r="A5" s="281"/>
      <c r="B5" s="263" t="str">
        <f>AutoBaremo!B5</f>
        <v>Fecha</v>
      </c>
      <c r="C5" s="32" t="str">
        <f>IF(AutoBaremo!C5:K5=0,"",AutoBaremo!C5:K5)</f>
        <v/>
      </c>
      <c r="D5" s="256"/>
      <c r="E5" s="33" t="str">
        <f>IF(E9&lt;&gt;PlanInversion!I8,Listas!A47,"")</f>
        <v/>
      </c>
      <c r="F5" s="34"/>
      <c r="G5" s="85" t="str">
        <f>IF(E9&lt;&gt;PlanInversion!I8,E9-PlanInversion!I8,"")</f>
        <v/>
      </c>
      <c r="H5" s="258"/>
    </row>
    <row r="6" spans="1:8" ht="9" customHeight="1" thickTop="1" x14ac:dyDescent="0.25">
      <c r="A6" s="272" t="s">
        <v>555</v>
      </c>
      <c r="B6" s="123"/>
      <c r="C6" s="35"/>
      <c r="D6" s="35"/>
      <c r="E6" s="35"/>
      <c r="F6" s="35"/>
      <c r="G6" s="35"/>
      <c r="H6" s="35"/>
    </row>
    <row r="7" spans="1:8" ht="16.5" thickBot="1" x14ac:dyDescent="0.3">
      <c r="A7" s="274" t="s">
        <v>803</v>
      </c>
      <c r="B7" s="492" t="s">
        <v>739</v>
      </c>
      <c r="C7" s="492"/>
      <c r="D7" s="492"/>
      <c r="E7" s="491">
        <f>YEAR(AutoBaremo!C5)</f>
        <v>1900</v>
      </c>
      <c r="F7" s="491"/>
      <c r="G7" s="491"/>
      <c r="H7" s="491"/>
    </row>
    <row r="8" spans="1:8" ht="15.75" customHeight="1" thickBot="1" x14ac:dyDescent="0.3">
      <c r="A8" s="274"/>
      <c r="B8" s="493"/>
      <c r="C8" s="493"/>
      <c r="D8" s="493"/>
      <c r="E8" s="417" t="s">
        <v>732</v>
      </c>
      <c r="F8" s="417" t="s">
        <v>807</v>
      </c>
      <c r="G8" s="417" t="s">
        <v>808</v>
      </c>
      <c r="H8" s="417" t="s">
        <v>738</v>
      </c>
    </row>
    <row r="9" spans="1:8" s="42" customFormat="1" ht="15.75" thickBot="1" x14ac:dyDescent="0.3">
      <c r="A9" s="275" t="s">
        <v>803</v>
      </c>
      <c r="B9" s="479" t="s">
        <v>725</v>
      </c>
      <c r="C9" s="479"/>
      <c r="D9" s="479"/>
      <c r="E9" s="255">
        <f>E10+E18+E27</f>
        <v>0</v>
      </c>
      <c r="F9" s="87"/>
      <c r="G9" s="88" t="s">
        <v>737</v>
      </c>
      <c r="H9" s="88" t="s">
        <v>737</v>
      </c>
    </row>
    <row r="10" spans="1:8" s="42" customFormat="1" ht="15" customHeight="1" thickBot="1" x14ac:dyDescent="0.3">
      <c r="A10" s="275" t="s">
        <v>803</v>
      </c>
      <c r="B10" s="427" t="s">
        <v>726</v>
      </c>
      <c r="C10" s="427"/>
      <c r="D10" s="427"/>
      <c r="E10" s="86">
        <f>SUM(E11:E17)</f>
        <v>0</v>
      </c>
      <c r="F10" s="87"/>
      <c r="G10" s="86">
        <f>SUM(G11:G17)</f>
        <v>0</v>
      </c>
      <c r="H10" s="86">
        <f>SUM(H11:H17)</f>
        <v>0</v>
      </c>
    </row>
    <row r="11" spans="1:8" ht="15.75" thickBot="1" x14ac:dyDescent="0.3">
      <c r="A11" s="276" t="s">
        <v>803</v>
      </c>
      <c r="B11" s="89"/>
      <c r="C11" s="456" t="s">
        <v>727</v>
      </c>
      <c r="D11" s="457"/>
      <c r="E11" s="52"/>
      <c r="F11" s="418"/>
      <c r="G11" s="47"/>
      <c r="H11" s="47"/>
    </row>
    <row r="12" spans="1:8" ht="15.75" customHeight="1" thickBot="1" x14ac:dyDescent="0.3">
      <c r="A12" s="277" t="s">
        <v>803</v>
      </c>
      <c r="B12" s="91"/>
      <c r="C12" s="458" t="s">
        <v>728</v>
      </c>
      <c r="D12" s="459"/>
      <c r="E12" s="52"/>
      <c r="F12" s="418"/>
      <c r="G12" s="47"/>
      <c r="H12" s="47"/>
    </row>
    <row r="13" spans="1:8" ht="15.75" hidden="1" thickBot="1" x14ac:dyDescent="0.3">
      <c r="A13" s="276" t="s">
        <v>803</v>
      </c>
      <c r="B13" s="89"/>
      <c r="C13" s="456" t="s">
        <v>809</v>
      </c>
      <c r="D13" s="457"/>
      <c r="E13" s="52"/>
      <c r="F13" s="418"/>
      <c r="G13" s="47"/>
      <c r="H13" s="47"/>
    </row>
    <row r="14" spans="1:8" ht="15.75" hidden="1" thickBot="1" x14ac:dyDescent="0.3">
      <c r="A14" s="277" t="s">
        <v>803</v>
      </c>
      <c r="B14" s="91"/>
      <c r="C14" s="458" t="s">
        <v>729</v>
      </c>
      <c r="D14" s="459"/>
      <c r="E14" s="52"/>
      <c r="F14" s="418"/>
      <c r="G14" s="47"/>
      <c r="H14" s="47"/>
    </row>
    <row r="15" spans="1:8" ht="15.75" thickBot="1" x14ac:dyDescent="0.3">
      <c r="A15" s="276" t="s">
        <v>803</v>
      </c>
      <c r="B15" s="89"/>
      <c r="C15" s="483" t="s">
        <v>866</v>
      </c>
      <c r="D15" s="484"/>
      <c r="E15" s="52"/>
      <c r="F15" s="418"/>
      <c r="G15" s="47"/>
      <c r="H15" s="47"/>
    </row>
    <row r="16" spans="1:8" ht="15.75" thickBot="1" x14ac:dyDescent="0.3">
      <c r="A16" s="277" t="s">
        <v>803</v>
      </c>
      <c r="B16" s="91"/>
      <c r="C16" s="483" t="s">
        <v>867</v>
      </c>
      <c r="D16" s="484"/>
      <c r="E16" s="52"/>
      <c r="F16" s="418"/>
      <c r="G16" s="47"/>
      <c r="H16" s="47"/>
    </row>
    <row r="17" spans="1:8" ht="15.75" thickBot="1" x14ac:dyDescent="0.3">
      <c r="A17" s="276" t="s">
        <v>803</v>
      </c>
      <c r="B17" s="89"/>
      <c r="C17" s="483" t="s">
        <v>867</v>
      </c>
      <c r="D17" s="484"/>
      <c r="E17" s="52"/>
      <c r="F17" s="418"/>
      <c r="G17" s="47"/>
      <c r="H17" s="47"/>
    </row>
    <row r="18" spans="1:8" s="42" customFormat="1" ht="15.75" thickBot="1" x14ac:dyDescent="0.3">
      <c r="A18" s="275" t="s">
        <v>803</v>
      </c>
      <c r="B18" s="427" t="s">
        <v>730</v>
      </c>
      <c r="C18" s="427"/>
      <c r="D18" s="427"/>
      <c r="E18" s="86">
        <f>SUM(E19:E26)</f>
        <v>0</v>
      </c>
      <c r="F18" s="87"/>
      <c r="G18" s="86">
        <f>SUM(G19:G26)</f>
        <v>10</v>
      </c>
      <c r="H18" s="86">
        <f>SUM(H19:H26)</f>
        <v>1</v>
      </c>
    </row>
    <row r="19" spans="1:8" ht="15.75" thickBot="1" x14ac:dyDescent="0.3">
      <c r="A19" s="276" t="s">
        <v>803</v>
      </c>
      <c r="B19" s="89"/>
      <c r="C19" s="456" t="s">
        <v>804</v>
      </c>
      <c r="D19" s="457"/>
      <c r="E19" s="52"/>
      <c r="F19" s="254">
        <v>0</v>
      </c>
      <c r="G19" s="52">
        <v>10</v>
      </c>
      <c r="H19" s="52">
        <v>1</v>
      </c>
    </row>
    <row r="20" spans="1:8" ht="15.75" thickBot="1" x14ac:dyDescent="0.3">
      <c r="A20" s="277" t="s">
        <v>803</v>
      </c>
      <c r="B20" s="91"/>
      <c r="C20" s="458" t="s">
        <v>805</v>
      </c>
      <c r="D20" s="459"/>
      <c r="E20" s="52"/>
      <c r="F20" s="254">
        <v>0</v>
      </c>
      <c r="G20" s="52">
        <v>0</v>
      </c>
      <c r="H20" s="52">
        <v>0</v>
      </c>
    </row>
    <row r="21" spans="1:8" ht="15.75" hidden="1" customHeight="1" thickBot="1" x14ac:dyDescent="0.3">
      <c r="A21" s="276" t="s">
        <v>803</v>
      </c>
      <c r="B21" s="89"/>
      <c r="C21" s="456" t="s">
        <v>767</v>
      </c>
      <c r="D21" s="457"/>
      <c r="E21" s="52"/>
      <c r="F21" s="254">
        <v>0</v>
      </c>
      <c r="G21" s="52">
        <v>0</v>
      </c>
      <c r="H21" s="52">
        <v>0</v>
      </c>
    </row>
    <row r="22" spans="1:8" ht="15.75" hidden="1" thickBot="1" x14ac:dyDescent="0.3">
      <c r="A22" s="277" t="s">
        <v>803</v>
      </c>
      <c r="B22" s="91"/>
      <c r="C22" s="458" t="s">
        <v>731</v>
      </c>
      <c r="D22" s="459"/>
      <c r="E22" s="52"/>
      <c r="F22" s="254">
        <v>0</v>
      </c>
      <c r="G22" s="52">
        <v>0</v>
      </c>
      <c r="H22" s="52">
        <v>0</v>
      </c>
    </row>
    <row r="23" spans="1:8" ht="15.75" hidden="1" thickBot="1" x14ac:dyDescent="0.3">
      <c r="A23" s="276" t="s">
        <v>803</v>
      </c>
      <c r="B23" s="89"/>
      <c r="C23" s="456" t="s">
        <v>779</v>
      </c>
      <c r="D23" s="457"/>
      <c r="E23" s="52"/>
      <c r="F23" s="254">
        <v>0</v>
      </c>
      <c r="G23" s="52">
        <v>0</v>
      </c>
      <c r="H23" s="52">
        <v>0</v>
      </c>
    </row>
    <row r="24" spans="1:8" ht="15.75" thickBot="1" x14ac:dyDescent="0.3">
      <c r="A24" s="276" t="s">
        <v>803</v>
      </c>
      <c r="B24" s="89"/>
      <c r="C24" s="483" t="s">
        <v>868</v>
      </c>
      <c r="D24" s="484"/>
      <c r="E24" s="52"/>
      <c r="F24" s="254">
        <v>0</v>
      </c>
      <c r="G24" s="52">
        <v>0</v>
      </c>
      <c r="H24" s="52">
        <v>0</v>
      </c>
    </row>
    <row r="25" spans="1:8" ht="15.75" thickBot="1" x14ac:dyDescent="0.3">
      <c r="A25" s="277" t="s">
        <v>803</v>
      </c>
      <c r="B25" s="91"/>
      <c r="C25" s="483" t="s">
        <v>869</v>
      </c>
      <c r="D25" s="484"/>
      <c r="E25" s="52"/>
      <c r="F25" s="254">
        <v>0</v>
      </c>
      <c r="G25" s="52">
        <v>0</v>
      </c>
      <c r="H25" s="52">
        <v>0</v>
      </c>
    </row>
    <row r="26" spans="1:8" ht="15.75" thickBot="1" x14ac:dyDescent="0.3">
      <c r="A26" s="276" t="s">
        <v>803</v>
      </c>
      <c r="B26" s="89"/>
      <c r="C26" s="483" t="s">
        <v>870</v>
      </c>
      <c r="D26" s="484"/>
      <c r="E26" s="52"/>
      <c r="F26" s="254">
        <v>0</v>
      </c>
      <c r="G26" s="52">
        <v>0</v>
      </c>
      <c r="H26" s="52">
        <v>0</v>
      </c>
    </row>
    <row r="27" spans="1:8" s="42" customFormat="1" ht="15.75" thickBot="1" x14ac:dyDescent="0.3">
      <c r="A27" s="275" t="s">
        <v>803</v>
      </c>
      <c r="B27" s="427" t="s">
        <v>733</v>
      </c>
      <c r="C27" s="427"/>
      <c r="D27" s="427"/>
      <c r="E27" s="86">
        <f>SUM(E28:E36)</f>
        <v>0</v>
      </c>
      <c r="F27" s="87"/>
      <c r="G27" s="86">
        <f>SUM(G28:G36)</f>
        <v>0</v>
      </c>
      <c r="H27" s="86">
        <f>SUM(H28:H36)</f>
        <v>0</v>
      </c>
    </row>
    <row r="28" spans="1:8" ht="15.75" thickBot="1" x14ac:dyDescent="0.3">
      <c r="A28" s="276" t="s">
        <v>803</v>
      </c>
      <c r="B28" s="89"/>
      <c r="C28" s="456" t="s">
        <v>874</v>
      </c>
      <c r="D28" s="457"/>
      <c r="E28" s="52"/>
      <c r="F28" s="418"/>
      <c r="G28" s="47"/>
      <c r="H28" s="47"/>
    </row>
    <row r="29" spans="1:8" ht="15.75" thickBot="1" x14ac:dyDescent="0.3">
      <c r="A29" s="277" t="s">
        <v>803</v>
      </c>
      <c r="B29" s="91"/>
      <c r="C29" s="458" t="s">
        <v>875</v>
      </c>
      <c r="D29" s="459"/>
      <c r="E29" s="52"/>
      <c r="F29" s="418"/>
      <c r="G29" s="47"/>
      <c r="H29" s="47"/>
    </row>
    <row r="30" spans="1:8" ht="15" hidden="1" customHeight="1" thickBot="1" x14ac:dyDescent="0.3">
      <c r="A30" s="276" t="s">
        <v>803</v>
      </c>
      <c r="B30" s="89"/>
      <c r="C30" s="456" t="s">
        <v>876</v>
      </c>
      <c r="D30" s="457"/>
      <c r="E30" s="52"/>
      <c r="F30" s="418"/>
      <c r="G30" s="47"/>
      <c r="H30" s="47"/>
    </row>
    <row r="31" spans="1:8" ht="15.75" hidden="1" thickBot="1" x14ac:dyDescent="0.3">
      <c r="A31" s="277" t="s">
        <v>803</v>
      </c>
      <c r="B31" s="91"/>
      <c r="C31" s="458" t="s">
        <v>734</v>
      </c>
      <c r="D31" s="459"/>
      <c r="E31" s="52"/>
      <c r="F31" s="419"/>
      <c r="G31" s="47"/>
      <c r="H31" s="47"/>
    </row>
    <row r="32" spans="1:8" ht="15.75" thickBot="1" x14ac:dyDescent="0.3">
      <c r="A32" s="276" t="s">
        <v>803</v>
      </c>
      <c r="B32" s="89"/>
      <c r="C32" s="456" t="s">
        <v>806</v>
      </c>
      <c r="D32" s="457"/>
      <c r="E32" s="52"/>
      <c r="F32" s="418"/>
      <c r="G32" s="47"/>
      <c r="H32" s="47"/>
    </row>
    <row r="33" spans="1:8" ht="15.75" thickBot="1" x14ac:dyDescent="0.3">
      <c r="A33" s="276" t="s">
        <v>803</v>
      </c>
      <c r="B33" s="89"/>
      <c r="C33" s="483" t="s">
        <v>871</v>
      </c>
      <c r="D33" s="484"/>
      <c r="E33" s="52"/>
      <c r="F33" s="418"/>
      <c r="G33" s="47"/>
      <c r="H33" s="47"/>
    </row>
    <row r="34" spans="1:8" ht="15.75" thickBot="1" x14ac:dyDescent="0.3">
      <c r="A34" s="277" t="s">
        <v>803</v>
      </c>
      <c r="B34" s="91"/>
      <c r="C34" s="483" t="s">
        <v>872</v>
      </c>
      <c r="D34" s="484"/>
      <c r="E34" s="52"/>
      <c r="F34" s="418"/>
      <c r="G34" s="47"/>
      <c r="H34" s="47"/>
    </row>
    <row r="35" spans="1:8" ht="15.75" thickBot="1" x14ac:dyDescent="0.3">
      <c r="A35" s="276" t="s">
        <v>803</v>
      </c>
      <c r="B35" s="89"/>
      <c r="C35" s="483" t="s">
        <v>873</v>
      </c>
      <c r="D35" s="484"/>
      <c r="E35" s="52"/>
      <c r="F35" s="418"/>
      <c r="G35" s="47"/>
      <c r="H35" s="47"/>
    </row>
    <row r="36" spans="1:8" ht="15.75" hidden="1" thickBot="1" x14ac:dyDescent="0.3">
      <c r="A36" s="277" t="s">
        <v>803</v>
      </c>
      <c r="B36" s="91"/>
      <c r="C36" s="458" t="s">
        <v>735</v>
      </c>
      <c r="D36" s="459"/>
      <c r="E36" s="52">
        <v>0</v>
      </c>
      <c r="F36" s="92" t="str">
        <f>IFERROR(#REF!/D36,"")</f>
        <v/>
      </c>
      <c r="G36" s="52">
        <v>0</v>
      </c>
      <c r="H36" s="52">
        <v>0</v>
      </c>
    </row>
    <row r="37" spans="1:8" s="38" customFormat="1" x14ac:dyDescent="0.25">
      <c r="A37" s="278" t="s">
        <v>542</v>
      </c>
      <c r="B37" s="54"/>
      <c r="C37" s="55"/>
      <c r="D37" s="56"/>
      <c r="E37" s="57"/>
      <c r="F37" s="58"/>
      <c r="G37" s="57"/>
      <c r="H37" s="58"/>
    </row>
    <row r="38" spans="1:8" s="38" customFormat="1" x14ac:dyDescent="0.25">
      <c r="A38" s="278" t="s">
        <v>542</v>
      </c>
      <c r="B38" s="59" t="str">
        <f>AutoBaremo!B274</f>
        <v xml:space="preserve">OBSERVACIONES: </v>
      </c>
      <c r="C38" s="55"/>
      <c r="D38" s="56"/>
      <c r="E38" s="57"/>
      <c r="F38" s="58"/>
      <c r="G38" s="57"/>
      <c r="H38" s="58"/>
    </row>
    <row r="39" spans="1:8" s="38" customFormat="1" x14ac:dyDescent="0.25">
      <c r="A39" s="278" t="s">
        <v>542</v>
      </c>
      <c r="B39" s="54"/>
      <c r="C39" s="473"/>
      <c r="D39" s="473"/>
      <c r="E39" s="473"/>
      <c r="F39" s="473"/>
      <c r="G39" s="473"/>
      <c r="H39" s="473"/>
    </row>
    <row r="40" spans="1:8" s="38" customFormat="1" ht="15.75" thickBot="1" x14ac:dyDescent="0.3">
      <c r="A40" s="278" t="s">
        <v>542</v>
      </c>
      <c r="B40" s="54"/>
      <c r="C40" s="55"/>
      <c r="D40" s="56"/>
      <c r="E40" s="57"/>
      <c r="F40" s="58"/>
      <c r="G40" s="57"/>
      <c r="H40" s="58"/>
    </row>
    <row r="41" spans="1:8" s="38" customFormat="1" x14ac:dyDescent="0.25">
      <c r="A41" s="279" t="s">
        <v>542</v>
      </c>
      <c r="B41" s="61"/>
      <c r="C41" s="62"/>
      <c r="D41" s="98"/>
      <c r="E41" s="349"/>
      <c r="F41" s="58"/>
      <c r="G41" s="57"/>
      <c r="H41" s="58"/>
    </row>
    <row r="42" spans="1:8" s="67" customFormat="1" x14ac:dyDescent="0.25">
      <c r="A42" s="280" t="s">
        <v>542</v>
      </c>
      <c r="B42" s="63" t="s">
        <v>377</v>
      </c>
      <c r="C42" s="64" t="str">
        <f>AutoBaremo!C280</f>
        <v/>
      </c>
      <c r="D42" s="99" t="str">
        <f>AutoBaremo!D280</f>
        <v/>
      </c>
      <c r="E42" s="352"/>
      <c r="F42" s="66"/>
      <c r="G42" s="65"/>
      <c r="H42" s="66"/>
    </row>
    <row r="43" spans="1:8" s="67" customFormat="1" x14ac:dyDescent="0.25">
      <c r="A43" s="280" t="s">
        <v>542</v>
      </c>
      <c r="B43" s="63" t="s">
        <v>378</v>
      </c>
      <c r="C43" s="68" t="str">
        <f>AutoBaremo!C281</f>
        <v/>
      </c>
      <c r="D43" s="102"/>
      <c r="E43" s="352"/>
      <c r="F43" s="66"/>
      <c r="G43" s="65"/>
      <c r="H43" s="66"/>
    </row>
    <row r="44" spans="1:8" s="38" customFormat="1" x14ac:dyDescent="0.25">
      <c r="A44" s="279" t="s">
        <v>542</v>
      </c>
      <c r="B44" s="69"/>
      <c r="C44" s="70"/>
      <c r="D44" s="103"/>
      <c r="E44" s="354"/>
      <c r="F44" s="58"/>
      <c r="G44" s="57"/>
      <c r="H44" s="58"/>
    </row>
    <row r="45" spans="1:8" s="38" customFormat="1" x14ac:dyDescent="0.25">
      <c r="A45" s="279" t="s">
        <v>542</v>
      </c>
      <c r="B45" s="69"/>
      <c r="C45" s="70"/>
      <c r="D45" s="103"/>
      <c r="E45" s="354"/>
      <c r="F45" s="58"/>
      <c r="G45" s="57"/>
      <c r="H45" s="58"/>
    </row>
    <row r="46" spans="1:8" s="38" customFormat="1" x14ac:dyDescent="0.25">
      <c r="A46" s="279" t="s">
        <v>542</v>
      </c>
      <c r="B46" s="69"/>
      <c r="C46" s="70"/>
      <c r="D46" s="103"/>
      <c r="E46" s="354"/>
      <c r="F46" s="58"/>
      <c r="G46" s="57"/>
      <c r="H46" s="58"/>
    </row>
    <row r="47" spans="1:8" s="38" customFormat="1" ht="15.75" thickBot="1" x14ac:dyDescent="0.3">
      <c r="A47" s="279" t="s">
        <v>542</v>
      </c>
      <c r="B47" s="71"/>
      <c r="C47" s="72"/>
      <c r="D47" s="355"/>
      <c r="E47" s="357"/>
      <c r="F47" s="58"/>
      <c r="G47" s="57"/>
      <c r="H47" s="58"/>
    </row>
    <row r="48" spans="1:8" x14ac:dyDescent="0.25">
      <c r="A48" s="282"/>
      <c r="B48" s="74"/>
      <c r="C48" s="74"/>
      <c r="D48" s="74"/>
      <c r="E48" s="75"/>
      <c r="F48" s="76"/>
      <c r="G48" s="75"/>
      <c r="H48" s="76"/>
    </row>
    <row r="49" spans="1:7" x14ac:dyDescent="0.25">
      <c r="A49" s="283"/>
      <c r="B49" s="27"/>
      <c r="C49" s="27"/>
      <c r="D49" s="27"/>
      <c r="E49" s="78"/>
      <c r="G49" s="78"/>
    </row>
    <row r="50" spans="1:7" x14ac:dyDescent="0.25">
      <c r="A50" s="283"/>
      <c r="B50" s="27"/>
      <c r="C50" s="27"/>
      <c r="D50" s="27"/>
      <c r="E50" s="78"/>
      <c r="G50" s="78"/>
    </row>
    <row r="51" spans="1:7" x14ac:dyDescent="0.25">
      <c r="A51" s="283"/>
      <c r="B51" s="27"/>
      <c r="C51" s="27"/>
      <c r="D51" s="27"/>
      <c r="E51" s="78"/>
      <c r="G51" s="78"/>
    </row>
    <row r="52" spans="1:7" x14ac:dyDescent="0.25">
      <c r="A52" s="283"/>
      <c r="B52" s="27"/>
      <c r="C52" s="27"/>
      <c r="D52" s="27"/>
      <c r="E52" s="78"/>
      <c r="G52" s="78"/>
    </row>
    <row r="53" spans="1:7" x14ac:dyDescent="0.25">
      <c r="A53" s="283"/>
      <c r="B53" s="27"/>
      <c r="C53" s="27"/>
      <c r="D53" s="27"/>
      <c r="E53" s="78"/>
      <c r="G53" s="78"/>
    </row>
    <row r="54" spans="1:7" x14ac:dyDescent="0.25">
      <c r="A54" s="283"/>
      <c r="B54" s="27"/>
      <c r="C54" s="27"/>
      <c r="D54" s="27"/>
      <c r="E54" s="78"/>
      <c r="G54" s="78"/>
    </row>
    <row r="55" spans="1:7" x14ac:dyDescent="0.25">
      <c r="A55" s="283"/>
      <c r="B55" s="27"/>
      <c r="C55" s="27"/>
      <c r="D55" s="27"/>
      <c r="E55" s="78"/>
      <c r="G55" s="78"/>
    </row>
    <row r="56" spans="1:7" x14ac:dyDescent="0.25">
      <c r="A56" s="283"/>
      <c r="B56" s="27"/>
      <c r="C56" s="27"/>
      <c r="D56" s="27"/>
      <c r="E56" s="78"/>
      <c r="G56" s="78"/>
    </row>
    <row r="57" spans="1:7" x14ac:dyDescent="0.25">
      <c r="A57" s="283"/>
      <c r="B57" s="27"/>
      <c r="C57" s="27"/>
      <c r="D57" s="27"/>
      <c r="E57" s="78"/>
      <c r="G57" s="78"/>
    </row>
    <row r="58" spans="1:7" x14ac:dyDescent="0.25">
      <c r="A58" s="283"/>
      <c r="B58" s="27"/>
      <c r="C58" s="27"/>
      <c r="D58" s="27"/>
      <c r="E58" s="78"/>
      <c r="G58" s="78"/>
    </row>
    <row r="59" spans="1:7" x14ac:dyDescent="0.25">
      <c r="A59" s="283"/>
      <c r="B59" s="27"/>
      <c r="C59" s="27"/>
      <c r="D59" s="27"/>
      <c r="E59" s="78"/>
      <c r="G59" s="78"/>
    </row>
    <row r="60" spans="1:7" x14ac:dyDescent="0.25">
      <c r="A60" s="283"/>
      <c r="B60" s="27"/>
      <c r="C60" s="27"/>
      <c r="D60" s="27"/>
      <c r="E60" s="78"/>
      <c r="G60" s="78"/>
    </row>
    <row r="61" spans="1:7" x14ac:dyDescent="0.25">
      <c r="A61" s="283"/>
      <c r="B61" s="27"/>
      <c r="C61" s="27"/>
      <c r="D61" s="27"/>
      <c r="E61" s="78"/>
      <c r="G61" s="78"/>
    </row>
    <row r="62" spans="1:7" x14ac:dyDescent="0.25">
      <c r="A62" s="283"/>
      <c r="B62" s="27"/>
      <c r="C62" s="27"/>
      <c r="D62" s="27"/>
      <c r="E62" s="78"/>
      <c r="G62" s="78"/>
    </row>
    <row r="63" spans="1:7" x14ac:dyDescent="0.25">
      <c r="A63" s="283"/>
      <c r="B63" s="27"/>
      <c r="C63" s="27"/>
      <c r="D63" s="27"/>
      <c r="E63" s="78"/>
      <c r="G63" s="78"/>
    </row>
    <row r="64" spans="1:7" x14ac:dyDescent="0.25">
      <c r="A64" s="283"/>
      <c r="B64" s="27"/>
      <c r="C64" s="27"/>
      <c r="D64" s="27"/>
      <c r="E64" s="78"/>
      <c r="G64" s="78"/>
    </row>
    <row r="65" spans="1:7" x14ac:dyDescent="0.25">
      <c r="A65" s="283"/>
      <c r="B65" s="27"/>
      <c r="C65" s="27"/>
      <c r="D65" s="27"/>
      <c r="E65" s="78"/>
      <c r="G65" s="78"/>
    </row>
    <row r="66" spans="1:7" x14ac:dyDescent="0.25">
      <c r="A66" s="283"/>
      <c r="B66" s="27"/>
      <c r="C66" s="27"/>
      <c r="D66" s="27"/>
      <c r="E66" s="78"/>
      <c r="G66" s="78"/>
    </row>
    <row r="67" spans="1:7" x14ac:dyDescent="0.25">
      <c r="A67" s="283"/>
      <c r="B67" s="27"/>
      <c r="C67" s="27"/>
      <c r="D67" s="27"/>
      <c r="E67" s="78"/>
      <c r="G67" s="78"/>
    </row>
    <row r="68" spans="1:7" x14ac:dyDescent="0.25">
      <c r="A68" s="283"/>
      <c r="B68" s="27"/>
      <c r="C68" s="27"/>
      <c r="D68" s="27"/>
      <c r="E68" s="78"/>
      <c r="G68" s="78"/>
    </row>
    <row r="69" spans="1:7" x14ac:dyDescent="0.25">
      <c r="A69" s="283"/>
      <c r="B69" s="27"/>
      <c r="C69" s="27"/>
      <c r="D69" s="27"/>
      <c r="E69" s="78"/>
      <c r="G69" s="78"/>
    </row>
    <row r="70" spans="1:7" x14ac:dyDescent="0.25">
      <c r="A70" s="283"/>
      <c r="B70" s="27"/>
      <c r="C70" s="27"/>
      <c r="D70" s="27"/>
      <c r="E70" s="78"/>
      <c r="G70" s="78"/>
    </row>
    <row r="71" spans="1:7" x14ac:dyDescent="0.25">
      <c r="A71" s="283"/>
      <c r="B71" s="27"/>
      <c r="C71" s="27"/>
      <c r="D71" s="27"/>
      <c r="E71" s="78"/>
      <c r="G71" s="78"/>
    </row>
    <row r="72" spans="1:7" x14ac:dyDescent="0.25">
      <c r="A72" s="283"/>
      <c r="B72" s="27"/>
      <c r="C72" s="27"/>
      <c r="D72" s="27"/>
      <c r="E72" s="78"/>
      <c r="G72" s="78"/>
    </row>
    <row r="73" spans="1:7" x14ac:dyDescent="0.25">
      <c r="A73" s="283"/>
      <c r="B73" s="27"/>
      <c r="C73" s="27"/>
      <c r="D73" s="27"/>
      <c r="E73" s="78"/>
      <c r="G73" s="78"/>
    </row>
    <row r="74" spans="1:7" x14ac:dyDescent="0.25">
      <c r="A74" s="283"/>
      <c r="B74" s="27"/>
      <c r="C74" s="27"/>
      <c r="D74" s="27"/>
      <c r="E74" s="78"/>
      <c r="G74" s="78"/>
    </row>
    <row r="75" spans="1:7" x14ac:dyDescent="0.25">
      <c r="A75" s="283"/>
      <c r="B75" s="27"/>
      <c r="C75" s="27"/>
      <c r="D75" s="27"/>
      <c r="E75" s="78"/>
      <c r="G75" s="78"/>
    </row>
    <row r="76" spans="1:7" x14ac:dyDescent="0.25">
      <c r="A76" s="283"/>
      <c r="B76" s="27"/>
      <c r="C76" s="27"/>
      <c r="D76" s="27"/>
      <c r="E76" s="78"/>
      <c r="G76" s="78"/>
    </row>
    <row r="77" spans="1:7" x14ac:dyDescent="0.25">
      <c r="A77" s="283"/>
      <c r="B77" s="27"/>
      <c r="C77" s="27"/>
      <c r="D77" s="27"/>
      <c r="E77" s="78"/>
      <c r="G77" s="78"/>
    </row>
    <row r="78" spans="1:7" x14ac:dyDescent="0.25">
      <c r="A78" s="283"/>
      <c r="B78" s="27"/>
      <c r="C78" s="27"/>
      <c r="D78" s="27"/>
      <c r="E78" s="78"/>
      <c r="G78" s="78"/>
    </row>
    <row r="79" spans="1:7" x14ac:dyDescent="0.25">
      <c r="A79" s="283"/>
      <c r="B79" s="27"/>
      <c r="C79" s="27"/>
      <c r="D79" s="27"/>
      <c r="E79" s="78"/>
      <c r="G79" s="78"/>
    </row>
    <row r="80" spans="1:7" x14ac:dyDescent="0.25">
      <c r="A80" s="283"/>
      <c r="B80" s="27"/>
      <c r="C80" s="27"/>
      <c r="D80" s="27"/>
      <c r="E80" s="78"/>
      <c r="G80" s="78"/>
    </row>
    <row r="81" spans="1:7" x14ac:dyDescent="0.25">
      <c r="A81" s="283"/>
      <c r="B81" s="27"/>
      <c r="C81" s="27"/>
      <c r="D81" s="27"/>
      <c r="E81" s="78"/>
      <c r="G81" s="78"/>
    </row>
    <row r="82" spans="1:7" x14ac:dyDescent="0.25">
      <c r="A82" s="283"/>
      <c r="B82" s="27"/>
      <c r="C82" s="27"/>
      <c r="D82" s="27"/>
      <c r="E82" s="78"/>
      <c r="G82" s="78"/>
    </row>
    <row r="83" spans="1:7" x14ac:dyDescent="0.25">
      <c r="A83" s="283"/>
      <c r="B83" s="27"/>
      <c r="C83" s="27"/>
      <c r="D83" s="27"/>
      <c r="E83" s="78"/>
      <c r="G83" s="78"/>
    </row>
    <row r="84" spans="1:7" x14ac:dyDescent="0.25">
      <c r="A84" s="283"/>
      <c r="B84" s="27"/>
      <c r="C84" s="27"/>
      <c r="D84" s="27"/>
      <c r="E84" s="78"/>
      <c r="G84" s="78"/>
    </row>
    <row r="85" spans="1:7" x14ac:dyDescent="0.25">
      <c r="A85" s="283"/>
      <c r="B85" s="27"/>
      <c r="C85" s="27"/>
      <c r="D85" s="27"/>
      <c r="E85" s="78"/>
      <c r="G85" s="78"/>
    </row>
    <row r="86" spans="1:7" x14ac:dyDescent="0.25">
      <c r="A86" s="283"/>
      <c r="B86" s="27"/>
      <c r="C86" s="27"/>
      <c r="D86" s="27"/>
      <c r="E86" s="78"/>
      <c r="G86" s="78"/>
    </row>
    <row r="87" spans="1:7" x14ac:dyDescent="0.25">
      <c r="A87" s="283"/>
      <c r="B87" s="27"/>
      <c r="C87" s="27"/>
      <c r="D87" s="27"/>
      <c r="E87" s="78"/>
      <c r="G87" s="78"/>
    </row>
    <row r="88" spans="1:7" x14ac:dyDescent="0.25">
      <c r="A88" s="283"/>
      <c r="B88" s="27"/>
      <c r="C88" s="27"/>
      <c r="D88" s="27"/>
      <c r="E88" s="78"/>
      <c r="G88" s="78"/>
    </row>
    <row r="89" spans="1:7" x14ac:dyDescent="0.25">
      <c r="A89" s="283"/>
      <c r="B89" s="27"/>
      <c r="C89" s="27"/>
      <c r="D89" s="27"/>
      <c r="E89" s="78"/>
      <c r="G89" s="78"/>
    </row>
    <row r="90" spans="1:7" x14ac:dyDescent="0.25">
      <c r="A90" s="283"/>
      <c r="B90" s="27"/>
      <c r="C90" s="27"/>
      <c r="D90" s="27"/>
      <c r="E90" s="78"/>
      <c r="G90" s="78"/>
    </row>
    <row r="91" spans="1:7" x14ac:dyDescent="0.25">
      <c r="A91" s="283"/>
      <c r="B91" s="27"/>
      <c r="C91" s="27"/>
      <c r="D91" s="27"/>
      <c r="E91" s="78"/>
      <c r="G91" s="78"/>
    </row>
    <row r="92" spans="1:7" x14ac:dyDescent="0.25">
      <c r="A92" s="283"/>
      <c r="B92" s="27"/>
      <c r="C92" s="27"/>
      <c r="D92" s="27"/>
      <c r="E92" s="78"/>
      <c r="G92" s="78"/>
    </row>
    <row r="93" spans="1:7" x14ac:dyDescent="0.25">
      <c r="A93" s="283"/>
      <c r="B93" s="27"/>
      <c r="C93" s="27"/>
      <c r="D93" s="27"/>
      <c r="E93" s="78"/>
      <c r="G93" s="78"/>
    </row>
    <row r="94" spans="1:7" x14ac:dyDescent="0.25">
      <c r="A94" s="283"/>
      <c r="B94" s="27"/>
      <c r="C94" s="27"/>
      <c r="D94" s="27"/>
      <c r="E94" s="78"/>
      <c r="G94" s="78"/>
    </row>
    <row r="95" spans="1:7" x14ac:dyDescent="0.25">
      <c r="A95" s="283"/>
      <c r="B95" s="27"/>
      <c r="C95" s="27"/>
      <c r="D95" s="27"/>
      <c r="E95" s="78"/>
      <c r="G95" s="78"/>
    </row>
    <row r="96" spans="1:7" x14ac:dyDescent="0.25">
      <c r="A96" s="283"/>
      <c r="B96" s="27"/>
      <c r="C96" s="27"/>
      <c r="D96" s="27"/>
      <c r="E96" s="78"/>
      <c r="G96" s="78"/>
    </row>
    <row r="97" spans="1:8" x14ac:dyDescent="0.25">
      <c r="A97" s="283"/>
      <c r="B97" s="27"/>
      <c r="C97" s="27"/>
      <c r="D97" s="27"/>
      <c r="E97" s="78"/>
      <c r="G97" s="78"/>
    </row>
    <row r="98" spans="1:8" x14ac:dyDescent="0.25">
      <c r="A98" s="283"/>
      <c r="B98" s="27"/>
      <c r="C98" s="27"/>
      <c r="D98" s="27"/>
      <c r="E98" s="78"/>
      <c r="G98" s="78"/>
    </row>
    <row r="99" spans="1:8" x14ac:dyDescent="0.25">
      <c r="A99" s="283"/>
      <c r="B99" s="27"/>
      <c r="C99" s="27"/>
      <c r="D99" s="27"/>
      <c r="E99" s="78"/>
      <c r="G99" s="78"/>
    </row>
    <row r="100" spans="1:8" x14ac:dyDescent="0.25">
      <c r="A100" s="283"/>
      <c r="B100" s="27"/>
      <c r="C100" s="27"/>
      <c r="D100" s="27"/>
      <c r="E100" s="78"/>
      <c r="G100" s="78"/>
    </row>
    <row r="101" spans="1:8" x14ac:dyDescent="0.25">
      <c r="A101" s="283"/>
      <c r="B101" s="27"/>
      <c r="C101" s="27"/>
      <c r="D101" s="27"/>
      <c r="E101" s="78"/>
      <c r="G101" s="78"/>
    </row>
    <row r="102" spans="1:8" x14ac:dyDescent="0.25">
      <c r="A102" s="283"/>
      <c r="B102" s="27"/>
      <c r="C102" s="27"/>
      <c r="D102" s="27"/>
      <c r="E102" s="78"/>
      <c r="G102" s="78"/>
    </row>
    <row r="103" spans="1:8" x14ac:dyDescent="0.25">
      <c r="A103" s="283"/>
      <c r="B103" s="27"/>
      <c r="C103" s="27"/>
      <c r="D103" s="27"/>
      <c r="E103" s="78"/>
      <c r="G103" s="78"/>
    </row>
    <row r="104" spans="1:8" x14ac:dyDescent="0.25">
      <c r="A104" s="283"/>
      <c r="B104" s="27"/>
      <c r="C104" s="27"/>
      <c r="D104" s="27"/>
      <c r="E104" s="78"/>
      <c r="G104" s="78"/>
    </row>
    <row r="105" spans="1:8" x14ac:dyDescent="0.25">
      <c r="A105" s="283"/>
      <c r="B105" s="27"/>
      <c r="C105" s="27"/>
      <c r="D105" s="27"/>
      <c r="E105" s="78"/>
      <c r="G105" s="78"/>
    </row>
    <row r="106" spans="1:8" ht="15.75" thickBot="1" x14ac:dyDescent="0.3">
      <c r="A106" s="284" t="s">
        <v>542</v>
      </c>
      <c r="B106" s="93"/>
      <c r="C106" s="94"/>
      <c r="D106" s="95"/>
      <c r="E106" s="96"/>
      <c r="F106" s="97"/>
      <c r="G106" s="96"/>
      <c r="H106" s="97"/>
    </row>
    <row r="107" spans="1:8" x14ac:dyDescent="0.25">
      <c r="A107" s="285" t="s">
        <v>542</v>
      </c>
      <c r="B107" s="61"/>
      <c r="C107" s="62"/>
      <c r="D107" s="98"/>
      <c r="E107" s="96"/>
      <c r="F107" s="97"/>
      <c r="G107" s="96"/>
      <c r="H107" s="97"/>
    </row>
    <row r="108" spans="1:8" x14ac:dyDescent="0.25">
      <c r="A108" s="286" t="s">
        <v>542</v>
      </c>
      <c r="B108" s="63" t="s">
        <v>377</v>
      </c>
      <c r="C108" s="64" t="str">
        <f>C4</f>
        <v/>
      </c>
      <c r="D108" s="99">
        <f ca="1">TODAY()</f>
        <v>43214</v>
      </c>
      <c r="E108" s="100"/>
      <c r="F108" s="101"/>
      <c r="G108" s="100"/>
      <c r="H108" s="101"/>
    </row>
    <row r="109" spans="1:8" x14ac:dyDescent="0.25">
      <c r="A109" s="286" t="s">
        <v>542</v>
      </c>
      <c r="B109" s="63" t="s">
        <v>378</v>
      </c>
      <c r="C109" s="68" t="e">
        <f>IF(#REF!&lt;&gt;0,#REF!,"")</f>
        <v>#REF!</v>
      </c>
      <c r="D109" s="102"/>
      <c r="E109" s="100"/>
      <c r="F109" s="101"/>
      <c r="G109" s="100"/>
      <c r="H109" s="101"/>
    </row>
    <row r="110" spans="1:8" x14ac:dyDescent="0.25">
      <c r="A110" s="287" t="s">
        <v>542</v>
      </c>
      <c r="B110" s="69"/>
      <c r="C110" s="70"/>
      <c r="D110" s="103"/>
      <c r="E110" s="96"/>
      <c r="F110" s="97"/>
      <c r="G110" s="96"/>
      <c r="H110" s="97"/>
    </row>
    <row r="111" spans="1:8" x14ac:dyDescent="0.25">
      <c r="A111" s="287" t="s">
        <v>542</v>
      </c>
      <c r="B111" s="69"/>
      <c r="C111" s="70"/>
      <c r="D111" s="103"/>
      <c r="E111" s="96"/>
      <c r="F111" s="97"/>
      <c r="G111" s="96"/>
      <c r="H111" s="97"/>
    </row>
    <row r="112" spans="1:8" x14ac:dyDescent="0.25">
      <c r="A112" s="287" t="s">
        <v>542</v>
      </c>
      <c r="B112" s="69"/>
      <c r="C112" s="70"/>
      <c r="D112" s="103"/>
      <c r="E112" s="96"/>
      <c r="F112" s="97"/>
      <c r="G112" s="96"/>
      <c r="H112" s="97"/>
    </row>
    <row r="113" spans="1:8" ht="15.75" thickBot="1" x14ac:dyDescent="0.3">
      <c r="A113" s="288" t="s">
        <v>542</v>
      </c>
      <c r="B113" s="104"/>
      <c r="C113" s="105"/>
      <c r="D113" s="106"/>
      <c r="E113" s="96"/>
      <c r="F113" s="97"/>
      <c r="G113" s="96"/>
      <c r="H113" s="97"/>
    </row>
  </sheetData>
  <sheetProtection algorithmName="SHA-512" hashValue="QJqJLgpIRvYx02MsMsbyzyUWZkh8RhBfhjdOVh7LpQ8ZbpmJ8SYUBda5FiXjUfIWbJNuacjO3oooUoa+NXNfQQ==" saltValue="Wgj9OCEFTYWtUQcjrJuvDg==" spinCount="100000" sheet="1" selectLockedCells="1" autoFilter="0"/>
  <autoFilter ref="A6:C6"/>
  <mergeCells count="36">
    <mergeCell ref="C39:H39"/>
    <mergeCell ref="C26:D26"/>
    <mergeCell ref="C33:D33"/>
    <mergeCell ref="C17:D17"/>
    <mergeCell ref="B18:D18"/>
    <mergeCell ref="C19:D19"/>
    <mergeCell ref="C20:D20"/>
    <mergeCell ref="C25:D25"/>
    <mergeCell ref="C32:D32"/>
    <mergeCell ref="C36:D36"/>
    <mergeCell ref="C21:D21"/>
    <mergeCell ref="C22:D22"/>
    <mergeCell ref="C23:D23"/>
    <mergeCell ref="C24:D24"/>
    <mergeCell ref="B27:D27"/>
    <mergeCell ref="C28:D28"/>
    <mergeCell ref="C29:D29"/>
    <mergeCell ref="C30:D30"/>
    <mergeCell ref="C31:D31"/>
    <mergeCell ref="C34:D34"/>
    <mergeCell ref="C35:D35"/>
    <mergeCell ref="E7:H7"/>
    <mergeCell ref="B7:D8"/>
    <mergeCell ref="C14:D14"/>
    <mergeCell ref="C16:D16"/>
    <mergeCell ref="C15:D15"/>
    <mergeCell ref="B9:D9"/>
    <mergeCell ref="B10:D10"/>
    <mergeCell ref="C11:D11"/>
    <mergeCell ref="C12:D12"/>
    <mergeCell ref="C13:D13"/>
    <mergeCell ref="B1:E1"/>
    <mergeCell ref="G1:H1"/>
    <mergeCell ref="C2:H2"/>
    <mergeCell ref="C3:H3"/>
    <mergeCell ref="C4:D4"/>
  </mergeCells>
  <pageMargins left="0.35433070866141736" right="0.15748031496062992" top="1.1417322834645669" bottom="0.78740157480314965" header="0.31496062992125984" footer="0.31496062992125984"/>
  <pageSetup paperSize="9" scale="72" fitToHeight="0" orientation="portrait" r:id="rId1"/>
  <headerFooter scaleWithDoc="0">
    <oddHeader>&amp;L&amp;G</oddHeader>
    <oddFooter>&amp;L&amp;"Eras Demi ITC,Normal"&amp;8&amp;G&amp;R&amp;8&amp;P/&amp;N</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Listas!$A$11:$A$21</xm:f>
          </x14:formula1>
          <xm:sqref>C4:D4</xm:sqref>
        </x14:dataValidation>
        <x14:dataValidation type="list" allowBlank="1" showInputMessage="1" showErrorMessage="1">
          <x14:formula1>
            <xm:f>Listas!$A$70:$A$71</xm:f>
          </x14:formula1>
          <xm:sqref>G9:H9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tabColor rgb="FF00B050"/>
    <pageSetUpPr fitToPage="1"/>
  </sheetPr>
  <dimension ref="A1:N101"/>
  <sheetViews>
    <sheetView zoomScaleNormal="100" zoomScaleSheetLayoutView="110" workbookViewId="0">
      <selection activeCell="E14" sqref="E14"/>
    </sheetView>
  </sheetViews>
  <sheetFormatPr baseColWidth="10" defaultColWidth="11.42578125" defaultRowHeight="15" x14ac:dyDescent="0.25"/>
  <cols>
    <col min="1" max="1" width="7.5703125" style="80" customWidth="1"/>
    <col min="2" max="2" width="9.28515625" style="81" customWidth="1"/>
    <col min="3" max="3" width="20" style="82" customWidth="1"/>
    <col min="4" max="4" width="26.7109375" style="83" customWidth="1"/>
    <col min="5" max="5" width="10.7109375" style="84" customWidth="1"/>
    <col min="6" max="7" width="10.7109375" style="79" customWidth="1"/>
    <col min="8" max="8" width="10.7109375" style="84" customWidth="1"/>
    <col min="9" max="9" width="12.28515625" style="84" customWidth="1"/>
    <col min="10" max="11" width="10.7109375" style="79" customWidth="1"/>
    <col min="12" max="12" width="12.85546875" style="79" bestFit="1" customWidth="1"/>
    <col min="13" max="16384" width="11.42578125" style="27"/>
  </cols>
  <sheetData>
    <row r="1" spans="1:13" ht="24.75" customHeight="1" thickTop="1" thickBot="1" x14ac:dyDescent="0.4">
      <c r="A1" s="26"/>
      <c r="B1" s="447" t="s">
        <v>884</v>
      </c>
      <c r="C1" s="448"/>
      <c r="D1" s="448"/>
      <c r="E1" s="448"/>
      <c r="F1" s="448"/>
      <c r="G1" s="448"/>
      <c r="H1" s="448"/>
      <c r="I1" s="494" t="str">
        <f>AutoBaremo!L1</f>
        <v xml:space="preserve">  GDR-JA-07 V.1.2 Diciembre 2017</v>
      </c>
      <c r="J1" s="494"/>
      <c r="K1" s="494"/>
      <c r="L1" s="495"/>
    </row>
    <row r="2" spans="1:13" ht="16.5" thickTop="1" thickBot="1" x14ac:dyDescent="0.3">
      <c r="A2" s="26"/>
      <c r="B2" s="263" t="str">
        <f>AutoBaremo!B2</f>
        <v>Proyecto:</v>
      </c>
      <c r="C2" s="466" t="str">
        <f>IF(AutoBaremo!C2:K2=0,"",AutoBaremo!C2:K2)</f>
        <v/>
      </c>
      <c r="D2" s="466"/>
      <c r="E2" s="466"/>
      <c r="F2" s="466"/>
      <c r="G2" s="466"/>
      <c r="H2" s="466"/>
      <c r="I2" s="466"/>
      <c r="J2" s="466"/>
      <c r="K2" s="466"/>
      <c r="L2" s="466"/>
    </row>
    <row r="3" spans="1:13" ht="15.75" customHeight="1" thickTop="1" thickBot="1" x14ac:dyDescent="0.3">
      <c r="A3" s="26"/>
      <c r="B3" s="263" t="str">
        <f>AutoBaremo!B3</f>
        <v>Solicitante:</v>
      </c>
      <c r="C3" s="466" t="str">
        <f>IF(AutoBaremo!C3:K3=0,"",AutoBaremo!C3:K3)</f>
        <v/>
      </c>
      <c r="D3" s="466"/>
      <c r="E3" s="466"/>
      <c r="F3" s="466"/>
      <c r="G3" s="466"/>
      <c r="H3" s="466"/>
      <c r="I3" s="466"/>
      <c r="J3" s="466"/>
      <c r="K3" s="466"/>
      <c r="L3" s="466"/>
    </row>
    <row r="4" spans="1:13" ht="16.5" thickTop="1" thickBot="1" x14ac:dyDescent="0.3">
      <c r="A4" s="26"/>
      <c r="B4" s="263" t="str">
        <f>AutoBaremo!B4</f>
        <v>Municipio:</v>
      </c>
      <c r="C4" s="466" t="str">
        <f>IF(AutoBaremo!C4:K4=0,"",AutoBaremo!C4:K4)</f>
        <v/>
      </c>
      <c r="D4" s="466"/>
      <c r="E4" s="29"/>
      <c r="F4" s="260"/>
      <c r="G4" s="260"/>
      <c r="H4" s="29"/>
      <c r="I4" s="29"/>
      <c r="J4" s="260"/>
      <c r="K4" s="260"/>
      <c r="L4" s="260"/>
    </row>
    <row r="5" spans="1:13" ht="16.5" thickTop="1" thickBot="1" x14ac:dyDescent="0.3">
      <c r="A5" s="26"/>
      <c r="B5" s="263" t="str">
        <f>AutoBaremo!B5</f>
        <v>Fecha</v>
      </c>
      <c r="C5" s="32" t="str">
        <f>IF(AutoBaremo!C5:K5=0,"",AutoBaremo!C5:K5)</f>
        <v/>
      </c>
      <c r="D5" s="256"/>
      <c r="E5" s="261"/>
      <c r="F5" s="262"/>
      <c r="G5" s="262"/>
      <c r="H5" s="261"/>
      <c r="I5" s="261"/>
      <c r="J5" s="262"/>
      <c r="K5" s="262"/>
      <c r="L5" s="262"/>
    </row>
    <row r="6" spans="1:13" ht="9" customHeight="1" thickTop="1" x14ac:dyDescent="0.25">
      <c r="A6" s="272" t="s">
        <v>555</v>
      </c>
      <c r="B6" s="123"/>
      <c r="C6" s="35"/>
      <c r="D6" s="35"/>
      <c r="E6" s="35"/>
      <c r="F6" s="35"/>
      <c r="G6" s="35"/>
      <c r="H6" s="35"/>
      <c r="I6" s="35"/>
      <c r="J6" s="35"/>
      <c r="K6" s="35"/>
      <c r="L6" s="35"/>
    </row>
    <row r="7" spans="1:13" s="38" customFormat="1" ht="15" customHeight="1" x14ac:dyDescent="0.25">
      <c r="A7" s="273" t="s">
        <v>788</v>
      </c>
      <c r="B7" s="510" t="s">
        <v>603</v>
      </c>
      <c r="C7" s="511"/>
      <c r="D7" s="511"/>
      <c r="E7" s="511"/>
      <c r="F7" s="511"/>
      <c r="G7" s="511"/>
      <c r="H7" s="511"/>
      <c r="I7" s="511"/>
      <c r="J7" s="511"/>
      <c r="K7" s="511"/>
      <c r="L7" s="511"/>
      <c r="M7" s="37"/>
    </row>
    <row r="8" spans="1:13" s="38" customFormat="1" ht="15" customHeight="1" x14ac:dyDescent="0.25">
      <c r="A8" s="273" t="s">
        <v>788</v>
      </c>
      <c r="B8" s="510" t="s">
        <v>760</v>
      </c>
      <c r="C8" s="511"/>
      <c r="D8" s="511"/>
      <c r="E8" s="511"/>
      <c r="F8" s="511"/>
      <c r="G8" s="511"/>
      <c r="H8" s="511"/>
      <c r="I8" s="511"/>
      <c r="J8" s="511"/>
      <c r="K8" s="511"/>
      <c r="L8" s="511"/>
      <c r="M8" s="37"/>
    </row>
    <row r="9" spans="1:13" s="38" customFormat="1" ht="15" customHeight="1" x14ac:dyDescent="0.25">
      <c r="A9" s="273" t="s">
        <v>788</v>
      </c>
      <c r="B9" s="510" t="s">
        <v>761</v>
      </c>
      <c r="C9" s="511"/>
      <c r="D9" s="511"/>
      <c r="E9" s="511"/>
      <c r="F9" s="511"/>
      <c r="G9" s="511"/>
      <c r="H9" s="511"/>
      <c r="I9" s="511"/>
      <c r="J9" s="511"/>
      <c r="K9" s="511"/>
      <c r="L9" s="511"/>
      <c r="M9" s="37"/>
    </row>
    <row r="10" spans="1:13" ht="16.5" thickBot="1" x14ac:dyDescent="0.3">
      <c r="A10" s="274" t="s">
        <v>759</v>
      </c>
      <c r="B10" s="498" t="s">
        <v>751</v>
      </c>
      <c r="C10" s="498"/>
      <c r="D10" s="498"/>
      <c r="E10" s="500">
        <f>YEAR(AutoBaremo!C5)</f>
        <v>1900</v>
      </c>
      <c r="F10" s="500"/>
      <c r="G10" s="500"/>
      <c r="H10" s="500"/>
      <c r="I10" s="500"/>
      <c r="J10" s="500"/>
      <c r="K10" s="500"/>
      <c r="L10" s="500"/>
    </row>
    <row r="11" spans="1:13" ht="15" customHeight="1" thickBot="1" x14ac:dyDescent="0.3">
      <c r="A11" s="274" t="s">
        <v>759</v>
      </c>
      <c r="B11" s="499"/>
      <c r="C11" s="499"/>
      <c r="D11" s="499"/>
      <c r="E11" s="512" t="s">
        <v>746</v>
      </c>
      <c r="F11" s="513"/>
      <c r="G11" s="512" t="s">
        <v>747</v>
      </c>
      <c r="H11" s="513"/>
      <c r="I11" s="501" t="s">
        <v>748</v>
      </c>
      <c r="J11" s="501" t="s">
        <v>821</v>
      </c>
      <c r="K11" s="503" t="s">
        <v>750</v>
      </c>
      <c r="L11" s="39" t="s">
        <v>745</v>
      </c>
    </row>
    <row r="12" spans="1:13" s="42" customFormat="1" ht="23.25" customHeight="1" thickBot="1" x14ac:dyDescent="0.3">
      <c r="A12" s="275" t="s">
        <v>759</v>
      </c>
      <c r="B12" s="479"/>
      <c r="C12" s="479"/>
      <c r="D12" s="479"/>
      <c r="E12" s="40" t="s">
        <v>752</v>
      </c>
      <c r="F12" s="40" t="s">
        <v>749</v>
      </c>
      <c r="G12" s="40" t="str">
        <f>E12</f>
        <v>&lt;35 años</v>
      </c>
      <c r="H12" s="40" t="str">
        <f>F12</f>
        <v>&gt; de 35 Años</v>
      </c>
      <c r="I12" s="502"/>
      <c r="J12" s="502"/>
      <c r="K12" s="503"/>
      <c r="L12" s="41"/>
    </row>
    <row r="13" spans="1:13" s="42" customFormat="1" ht="15" customHeight="1" thickBot="1" x14ac:dyDescent="0.3">
      <c r="A13" s="275" t="s">
        <v>759</v>
      </c>
      <c r="B13" s="427" t="s">
        <v>740</v>
      </c>
      <c r="C13" s="427"/>
      <c r="D13" s="427"/>
      <c r="E13" s="44">
        <f t="shared" ref="E13:L13" si="0">E14+E15</f>
        <v>0</v>
      </c>
      <c r="F13" s="43">
        <f t="shared" si="0"/>
        <v>0</v>
      </c>
      <c r="G13" s="44">
        <f t="shared" si="0"/>
        <v>0</v>
      </c>
      <c r="H13" s="44">
        <f t="shared" si="0"/>
        <v>0</v>
      </c>
      <c r="I13" s="44">
        <f t="shared" si="0"/>
        <v>0</v>
      </c>
      <c r="J13" s="44">
        <f t="shared" si="0"/>
        <v>0</v>
      </c>
      <c r="K13" s="44">
        <f t="shared" si="0"/>
        <v>0</v>
      </c>
      <c r="L13" s="320">
        <f t="shared" si="0"/>
        <v>0</v>
      </c>
    </row>
    <row r="14" spans="1:13" s="4" customFormat="1" ht="15.75" customHeight="1" thickBot="1" x14ac:dyDescent="0.25">
      <c r="A14" s="276" t="s">
        <v>759</v>
      </c>
      <c r="B14" s="506" t="s">
        <v>741</v>
      </c>
      <c r="C14" s="506"/>
      <c r="D14" s="395"/>
      <c r="E14" s="45"/>
      <c r="F14" s="45"/>
      <c r="G14" s="45"/>
      <c r="H14" s="45"/>
      <c r="I14" s="45"/>
      <c r="J14" s="45"/>
      <c r="K14" s="45"/>
      <c r="L14" s="46">
        <f>SUM(E14:H14)</f>
        <v>0</v>
      </c>
    </row>
    <row r="15" spans="1:13" s="4" customFormat="1" ht="15.75" customHeight="1" thickBot="1" x14ac:dyDescent="0.25">
      <c r="A15" s="277" t="s">
        <v>759</v>
      </c>
      <c r="B15" s="504" t="s">
        <v>742</v>
      </c>
      <c r="C15" s="504"/>
      <c r="D15" s="505"/>
      <c r="E15" s="47">
        <f t="shared" ref="E15:L15" si="1">E16+E19</f>
        <v>0</v>
      </c>
      <c r="F15" s="47">
        <f t="shared" si="1"/>
        <v>0</v>
      </c>
      <c r="G15" s="47">
        <f t="shared" si="1"/>
        <v>0</v>
      </c>
      <c r="H15" s="47">
        <f t="shared" si="1"/>
        <v>0</v>
      </c>
      <c r="I15" s="47">
        <f t="shared" si="1"/>
        <v>0</v>
      </c>
      <c r="J15" s="47">
        <f t="shared" si="1"/>
        <v>0</v>
      </c>
      <c r="K15" s="47">
        <f t="shared" si="1"/>
        <v>0</v>
      </c>
      <c r="L15" s="48">
        <f t="shared" si="1"/>
        <v>0</v>
      </c>
    </row>
    <row r="16" spans="1:13" s="4" customFormat="1" ht="15.75" customHeight="1" thickBot="1" x14ac:dyDescent="0.25">
      <c r="A16" s="277" t="s">
        <v>759</v>
      </c>
      <c r="B16" s="514" t="s">
        <v>754</v>
      </c>
      <c r="C16" s="514"/>
      <c r="D16" s="396"/>
      <c r="E16" s="49">
        <f t="shared" ref="E16" si="2">SUM(E17:E18)</f>
        <v>0</v>
      </c>
      <c r="F16" s="49">
        <f t="shared" ref="F16" si="3">SUM(F17:F18)</f>
        <v>0</v>
      </c>
      <c r="G16" s="49">
        <f t="shared" ref="G16" si="4">SUM(G17:G18)</f>
        <v>0</v>
      </c>
      <c r="H16" s="49">
        <f t="shared" ref="H16" si="5">SUM(H17:H18)</f>
        <v>0</v>
      </c>
      <c r="I16" s="49">
        <f t="shared" ref="I16" si="6">SUM(I17:I18)</f>
        <v>0</v>
      </c>
      <c r="J16" s="49">
        <f t="shared" ref="J16" si="7">SUM(J17:J18)</f>
        <v>0</v>
      </c>
      <c r="K16" s="49">
        <f t="shared" ref="K16" si="8">SUM(K17:K18)</f>
        <v>0</v>
      </c>
      <c r="L16" s="50">
        <f t="shared" ref="L16" si="9">SUM(L17:L18)</f>
        <v>0</v>
      </c>
    </row>
    <row r="17" spans="1:14" s="4" customFormat="1" ht="15.75" customHeight="1" thickBot="1" x14ac:dyDescent="0.25">
      <c r="A17" s="277" t="s">
        <v>759</v>
      </c>
      <c r="B17" s="51"/>
      <c r="C17" s="496" t="s">
        <v>753</v>
      </c>
      <c r="D17" s="497"/>
      <c r="E17" s="52"/>
      <c r="F17" s="52"/>
      <c r="G17" s="52"/>
      <c r="H17" s="52"/>
      <c r="I17" s="52"/>
      <c r="J17" s="52"/>
      <c r="K17" s="52"/>
      <c r="L17" s="53">
        <f>SUM(E17:H17)</f>
        <v>0</v>
      </c>
    </row>
    <row r="18" spans="1:14" s="4" customFormat="1" ht="15.75" customHeight="1" thickBot="1" x14ac:dyDescent="0.25">
      <c r="A18" s="277" t="s">
        <v>759</v>
      </c>
      <c r="B18" s="51"/>
      <c r="C18" s="496" t="s">
        <v>881</v>
      </c>
      <c r="D18" s="497"/>
      <c r="E18" s="52"/>
      <c r="F18" s="52"/>
      <c r="G18" s="52"/>
      <c r="H18" s="52"/>
      <c r="I18" s="52"/>
      <c r="J18" s="52"/>
      <c r="K18" s="52"/>
      <c r="L18" s="53">
        <f>SUM(E18:H18)</f>
        <v>0</v>
      </c>
    </row>
    <row r="19" spans="1:14" s="4" customFormat="1" ht="15.75" customHeight="1" thickBot="1" x14ac:dyDescent="0.25">
      <c r="A19" s="277" t="s">
        <v>759</v>
      </c>
      <c r="B19" s="514" t="s">
        <v>755</v>
      </c>
      <c r="C19" s="514"/>
      <c r="D19" s="515"/>
      <c r="E19" s="49">
        <f t="shared" ref="E19" si="10">SUM(E20:E21)</f>
        <v>0</v>
      </c>
      <c r="F19" s="49">
        <f t="shared" ref="F19" si="11">SUM(F20:F21)</f>
        <v>0</v>
      </c>
      <c r="G19" s="49">
        <f t="shared" ref="G19" si="12">SUM(G20:G21)</f>
        <v>0</v>
      </c>
      <c r="H19" s="49">
        <f t="shared" ref="H19" si="13">SUM(H20:H21)</f>
        <v>0</v>
      </c>
      <c r="I19" s="49">
        <f t="shared" ref="I19" si="14">SUM(I20:I21)</f>
        <v>0</v>
      </c>
      <c r="J19" s="49">
        <f t="shared" ref="J19" si="15">SUM(J20:J21)</f>
        <v>0</v>
      </c>
      <c r="K19" s="49">
        <f t="shared" ref="K19" si="16">SUM(K20:K21)</f>
        <v>0</v>
      </c>
      <c r="L19" s="50">
        <f>SUM(E19:H19)</f>
        <v>0</v>
      </c>
    </row>
    <row r="20" spans="1:14" s="4" customFormat="1" ht="15.75" customHeight="1" thickBot="1" x14ac:dyDescent="0.25">
      <c r="A20" s="277" t="s">
        <v>759</v>
      </c>
      <c r="B20" s="51"/>
      <c r="C20" s="496" t="s">
        <v>753</v>
      </c>
      <c r="D20" s="497"/>
      <c r="E20" s="52"/>
      <c r="F20" s="52"/>
      <c r="G20" s="52"/>
      <c r="H20" s="52"/>
      <c r="I20" s="52"/>
      <c r="J20" s="52"/>
      <c r="K20" s="52"/>
      <c r="L20" s="53">
        <f>SUM(E20:H20)</f>
        <v>0</v>
      </c>
    </row>
    <row r="21" spans="1:14" s="4" customFormat="1" ht="15.75" customHeight="1" thickBot="1" x14ac:dyDescent="0.25">
      <c r="A21" s="277" t="s">
        <v>759</v>
      </c>
      <c r="B21" s="51"/>
      <c r="C21" s="496" t="s">
        <v>881</v>
      </c>
      <c r="D21" s="497"/>
      <c r="E21" s="52"/>
      <c r="F21" s="52"/>
      <c r="G21" s="52"/>
      <c r="H21" s="52"/>
      <c r="I21" s="52"/>
      <c r="J21" s="52"/>
      <c r="K21" s="52"/>
      <c r="L21" s="53">
        <f>SUM(E21:H21)</f>
        <v>0</v>
      </c>
    </row>
    <row r="22" spans="1:14" s="42" customFormat="1" ht="15.75" thickBot="1" x14ac:dyDescent="0.3">
      <c r="A22" s="275" t="s">
        <v>759</v>
      </c>
      <c r="B22" s="427" t="s">
        <v>743</v>
      </c>
      <c r="C22" s="427"/>
      <c r="D22" s="427"/>
      <c r="E22" s="44">
        <f>SUM(E23:E24)</f>
        <v>0</v>
      </c>
      <c r="F22" s="43">
        <f t="shared" ref="F22:K22" si="17">SUM(F23:F24)</f>
        <v>0</v>
      </c>
      <c r="G22" s="44">
        <f t="shared" si="17"/>
        <v>0</v>
      </c>
      <c r="H22" s="44">
        <f t="shared" si="17"/>
        <v>0</v>
      </c>
      <c r="I22" s="44">
        <f t="shared" si="17"/>
        <v>0</v>
      </c>
      <c r="J22" s="44">
        <f t="shared" si="17"/>
        <v>0</v>
      </c>
      <c r="K22" s="323">
        <f t="shared" si="17"/>
        <v>0</v>
      </c>
      <c r="L22" s="44">
        <f>SUM(L23:L24)</f>
        <v>0</v>
      </c>
    </row>
    <row r="23" spans="1:14" s="4" customFormat="1" ht="15.75" customHeight="1" thickBot="1" x14ac:dyDescent="0.25">
      <c r="A23" s="276" t="s">
        <v>759</v>
      </c>
      <c r="B23" s="506" t="s">
        <v>741</v>
      </c>
      <c r="C23" s="506"/>
      <c r="D23" s="395"/>
      <c r="E23" s="45"/>
      <c r="F23" s="45"/>
      <c r="G23" s="45"/>
      <c r="H23" s="45"/>
      <c r="I23" s="45"/>
      <c r="J23" s="45"/>
      <c r="K23" s="45"/>
      <c r="L23" s="46">
        <f>SUM(E23:H23)</f>
        <v>0</v>
      </c>
    </row>
    <row r="24" spans="1:14" s="4" customFormat="1" ht="15" customHeight="1" thickBot="1" x14ac:dyDescent="0.25">
      <c r="A24" s="277" t="s">
        <v>759</v>
      </c>
      <c r="B24" s="504" t="s">
        <v>742</v>
      </c>
      <c r="C24" s="504"/>
      <c r="D24" s="505"/>
      <c r="E24" s="47">
        <f t="shared" ref="E24" si="18">E25+E28</f>
        <v>0</v>
      </c>
      <c r="F24" s="47">
        <f t="shared" ref="F24" si="19">F25+F28</f>
        <v>0</v>
      </c>
      <c r="G24" s="47">
        <f t="shared" ref="G24" si="20">G25+G28</f>
        <v>0</v>
      </c>
      <c r="H24" s="47">
        <f t="shared" ref="H24" si="21">H25+H28</f>
        <v>0</v>
      </c>
      <c r="I24" s="47">
        <f t="shared" ref="I24" si="22">I25+I28</f>
        <v>0</v>
      </c>
      <c r="J24" s="47">
        <f t="shared" ref="J24" si="23">J25+J28</f>
        <v>0</v>
      </c>
      <c r="K24" s="47">
        <f t="shared" ref="K24" si="24">K25+K28</f>
        <v>0</v>
      </c>
      <c r="L24" s="48">
        <f t="shared" ref="L24" si="25">L25+L28</f>
        <v>0</v>
      </c>
    </row>
    <row r="25" spans="1:14" s="4" customFormat="1" ht="15.75" customHeight="1" thickBot="1" x14ac:dyDescent="0.25">
      <c r="A25" s="277" t="s">
        <v>759</v>
      </c>
      <c r="B25" s="514" t="s">
        <v>754</v>
      </c>
      <c r="C25" s="514"/>
      <c r="D25" s="396"/>
      <c r="E25" s="49">
        <f t="shared" ref="E25" si="26">SUM(E26:E27)</f>
        <v>0</v>
      </c>
      <c r="F25" s="49">
        <f t="shared" ref="F25" si="27">SUM(F26:F27)</f>
        <v>0</v>
      </c>
      <c r="G25" s="49">
        <f t="shared" ref="G25" si="28">SUM(G26:G27)</f>
        <v>0</v>
      </c>
      <c r="H25" s="49">
        <f t="shared" ref="H25" si="29">SUM(H26:H27)</f>
        <v>0</v>
      </c>
      <c r="I25" s="49">
        <f t="shared" ref="I25" si="30">SUM(I26:I27)</f>
        <v>0</v>
      </c>
      <c r="J25" s="49">
        <f t="shared" ref="J25" si="31">SUM(J26:J27)</f>
        <v>0</v>
      </c>
      <c r="K25" s="49">
        <f t="shared" ref="K25" si="32">SUM(K26:K27)</f>
        <v>0</v>
      </c>
      <c r="L25" s="50">
        <f t="shared" ref="L25" si="33">SUM(L26:L27)</f>
        <v>0</v>
      </c>
    </row>
    <row r="26" spans="1:14" s="4" customFormat="1" ht="15.75" customHeight="1" thickBot="1" x14ac:dyDescent="0.25">
      <c r="A26" s="277" t="s">
        <v>759</v>
      </c>
      <c r="B26" s="51"/>
      <c r="C26" s="496" t="s">
        <v>753</v>
      </c>
      <c r="D26" s="497"/>
      <c r="E26" s="322">
        <v>0</v>
      </c>
      <c r="F26" s="52"/>
      <c r="G26" s="322">
        <v>0</v>
      </c>
      <c r="H26" s="322">
        <v>0</v>
      </c>
      <c r="I26" s="322">
        <v>0</v>
      </c>
      <c r="J26" s="322">
        <v>0</v>
      </c>
      <c r="K26" s="52"/>
      <c r="L26" s="321">
        <f>SUM(E26:H26)</f>
        <v>0</v>
      </c>
    </row>
    <row r="27" spans="1:14" s="4" customFormat="1" ht="15.75" customHeight="1" thickBot="1" x14ac:dyDescent="0.25">
      <c r="A27" s="277" t="s">
        <v>759</v>
      </c>
      <c r="B27" s="51"/>
      <c r="C27" s="496" t="s">
        <v>881</v>
      </c>
      <c r="D27" s="497"/>
      <c r="E27" s="52"/>
      <c r="F27" s="52"/>
      <c r="G27" s="52"/>
      <c r="H27" s="52"/>
      <c r="I27" s="52"/>
      <c r="J27" s="52"/>
      <c r="K27" s="52"/>
      <c r="L27" s="53">
        <f>SUM(E27:H27)</f>
        <v>0</v>
      </c>
    </row>
    <row r="28" spans="1:14" s="4" customFormat="1" ht="15.75" customHeight="1" thickBot="1" x14ac:dyDescent="0.25">
      <c r="A28" s="277" t="s">
        <v>759</v>
      </c>
      <c r="B28" s="514" t="s">
        <v>755</v>
      </c>
      <c r="C28" s="514"/>
      <c r="D28" s="515"/>
      <c r="E28" s="49">
        <f t="shared" ref="E28" si="34">SUM(E29:E30)</f>
        <v>0</v>
      </c>
      <c r="F28" s="49">
        <f t="shared" ref="F28" si="35">SUM(F29:F30)</f>
        <v>0</v>
      </c>
      <c r="G28" s="49">
        <f t="shared" ref="G28" si="36">SUM(G29:G30)</f>
        <v>0</v>
      </c>
      <c r="H28" s="49">
        <f t="shared" ref="H28" si="37">SUM(H29:H30)</f>
        <v>0</v>
      </c>
      <c r="I28" s="49">
        <f t="shared" ref="I28" si="38">SUM(I29:I30)</f>
        <v>0</v>
      </c>
      <c r="J28" s="49">
        <f t="shared" ref="J28" si="39">SUM(J29:J30)</f>
        <v>0</v>
      </c>
      <c r="K28" s="49">
        <f t="shared" ref="K28" si="40">SUM(K29:K30)</f>
        <v>0</v>
      </c>
      <c r="L28" s="50">
        <f>SUM(E28:H28)</f>
        <v>0</v>
      </c>
    </row>
    <row r="29" spans="1:14" s="4" customFormat="1" ht="15.75" customHeight="1" thickBot="1" x14ac:dyDescent="0.25">
      <c r="A29" s="277" t="s">
        <v>759</v>
      </c>
      <c r="B29" s="51"/>
      <c r="C29" s="496" t="s">
        <v>753</v>
      </c>
      <c r="D29" s="497"/>
      <c r="E29" s="52"/>
      <c r="F29" s="52"/>
      <c r="G29" s="52"/>
      <c r="H29" s="52"/>
      <c r="I29" s="52"/>
      <c r="J29" s="52"/>
      <c r="K29" s="52"/>
      <c r="L29" s="53">
        <f>SUM(E29:H29)</f>
        <v>0</v>
      </c>
    </row>
    <row r="30" spans="1:14" s="4" customFormat="1" ht="15.75" customHeight="1" thickBot="1" x14ac:dyDescent="0.25">
      <c r="A30" s="277" t="s">
        <v>759</v>
      </c>
      <c r="B30" s="51"/>
      <c r="C30" s="496" t="s">
        <v>881</v>
      </c>
      <c r="D30" s="497"/>
      <c r="E30" s="52"/>
      <c r="F30" s="52"/>
      <c r="G30" s="52"/>
      <c r="H30" s="52"/>
      <c r="I30" s="52"/>
      <c r="J30" s="52"/>
      <c r="K30" s="52"/>
      <c r="L30" s="53">
        <f>SUM(E30:H30)</f>
        <v>0</v>
      </c>
    </row>
    <row r="31" spans="1:14" s="42" customFormat="1" ht="15.75" thickBot="1" x14ac:dyDescent="0.3">
      <c r="A31" s="275" t="s">
        <v>759</v>
      </c>
      <c r="B31" s="427" t="s">
        <v>744</v>
      </c>
      <c r="C31" s="427"/>
      <c r="D31" s="427"/>
      <c r="E31" s="44">
        <f t="shared" ref="E31:K31" si="41">SUM(E32:E32)</f>
        <v>0</v>
      </c>
      <c r="F31" s="43">
        <f t="shared" si="41"/>
        <v>0</v>
      </c>
      <c r="G31" s="44">
        <f t="shared" si="41"/>
        <v>0</v>
      </c>
      <c r="H31" s="44">
        <f t="shared" si="41"/>
        <v>0</v>
      </c>
      <c r="I31" s="44">
        <f t="shared" si="41"/>
        <v>0</v>
      </c>
      <c r="J31" s="44">
        <f t="shared" si="41"/>
        <v>0</v>
      </c>
      <c r="K31" s="44">
        <f t="shared" si="41"/>
        <v>0</v>
      </c>
      <c r="L31" s="43">
        <f>L32</f>
        <v>0</v>
      </c>
    </row>
    <row r="32" spans="1:14" s="4" customFormat="1" ht="13.5" thickBot="1" x14ac:dyDescent="0.25">
      <c r="A32" s="277" t="s">
        <v>759</v>
      </c>
      <c r="B32" s="51"/>
      <c r="C32" s="508" t="s">
        <v>756</v>
      </c>
      <c r="D32" s="509"/>
      <c r="E32" s="52"/>
      <c r="F32" s="52"/>
      <c r="G32" s="52"/>
      <c r="H32" s="52"/>
      <c r="I32" s="52"/>
      <c r="J32" s="52"/>
      <c r="K32" s="52"/>
      <c r="L32" s="321">
        <f>SUM(E32:H32)</f>
        <v>0</v>
      </c>
      <c r="N32" s="52"/>
    </row>
    <row r="33" spans="1:14" s="42" customFormat="1" ht="15.75" thickBot="1" x14ac:dyDescent="0.3">
      <c r="A33" s="275" t="s">
        <v>759</v>
      </c>
      <c r="B33" s="427" t="s">
        <v>757</v>
      </c>
      <c r="C33" s="427"/>
      <c r="D33" s="427"/>
      <c r="E33" s="43">
        <f t="shared" ref="E33:K33" si="42">SUM(E34:E34)</f>
        <v>0</v>
      </c>
      <c r="F33" s="43">
        <f t="shared" si="42"/>
        <v>0</v>
      </c>
      <c r="G33" s="43">
        <f t="shared" si="42"/>
        <v>0</v>
      </c>
      <c r="H33" s="43">
        <f t="shared" si="42"/>
        <v>0</v>
      </c>
      <c r="I33" s="43">
        <f t="shared" si="42"/>
        <v>0</v>
      </c>
      <c r="J33" s="43">
        <f t="shared" si="42"/>
        <v>0</v>
      </c>
      <c r="K33" s="43">
        <f t="shared" si="42"/>
        <v>0</v>
      </c>
      <c r="L33" s="43">
        <f>L34</f>
        <v>0</v>
      </c>
    </row>
    <row r="34" spans="1:14" s="4" customFormat="1" ht="13.5" thickBot="1" x14ac:dyDescent="0.25">
      <c r="A34" s="277" t="s">
        <v>759</v>
      </c>
      <c r="B34" s="51"/>
      <c r="C34" s="508" t="s">
        <v>758</v>
      </c>
      <c r="D34" s="509"/>
      <c r="E34" s="52"/>
      <c r="F34" s="52"/>
      <c r="G34" s="52"/>
      <c r="H34" s="52"/>
      <c r="I34" s="52"/>
      <c r="J34" s="52"/>
      <c r="K34" s="52"/>
      <c r="L34" s="53">
        <f>SUM(E34:H34)</f>
        <v>0</v>
      </c>
      <c r="N34" s="52"/>
    </row>
    <row r="35" spans="1:14" s="38" customFormat="1" x14ac:dyDescent="0.25">
      <c r="A35" s="278" t="s">
        <v>542</v>
      </c>
      <c r="B35" s="54"/>
      <c r="C35" s="55"/>
      <c r="D35" s="56"/>
      <c r="E35" s="57"/>
      <c r="F35" s="58"/>
      <c r="G35" s="58"/>
      <c r="H35" s="57"/>
      <c r="I35" s="57"/>
      <c r="J35" s="58"/>
      <c r="K35" s="58"/>
      <c r="L35" s="58"/>
    </row>
    <row r="36" spans="1:14" s="38" customFormat="1" x14ac:dyDescent="0.25">
      <c r="A36" s="278" t="s">
        <v>542</v>
      </c>
      <c r="B36" s="59" t="str">
        <f>PlanFinanciacion!B38</f>
        <v xml:space="preserve">OBSERVACIONES: </v>
      </c>
      <c r="C36" s="55"/>
      <c r="D36" s="56"/>
      <c r="E36" s="57"/>
      <c r="F36" s="58"/>
      <c r="G36" s="58"/>
      <c r="H36" s="57"/>
      <c r="I36" s="57"/>
      <c r="J36" s="58"/>
      <c r="K36" s="58"/>
      <c r="L36" s="58"/>
    </row>
    <row r="37" spans="1:14" s="38" customFormat="1" ht="14.45" customHeight="1" x14ac:dyDescent="0.25">
      <c r="A37" s="278" t="s">
        <v>542</v>
      </c>
      <c r="B37" s="60" t="s">
        <v>822</v>
      </c>
      <c r="C37" s="60"/>
      <c r="D37" s="60"/>
      <c r="E37" s="60"/>
      <c r="F37" s="60"/>
      <c r="G37" s="60"/>
      <c r="H37" s="60"/>
      <c r="I37" s="60"/>
      <c r="J37" s="60"/>
      <c r="L37" s="58"/>
    </row>
    <row r="38" spans="1:14" s="38" customFormat="1" ht="15.75" thickBot="1" x14ac:dyDescent="0.3">
      <c r="A38" s="278" t="s">
        <v>542</v>
      </c>
      <c r="B38" s="507"/>
      <c r="C38" s="507"/>
      <c r="D38" s="507"/>
      <c r="E38" s="507"/>
      <c r="F38" s="507"/>
      <c r="G38" s="507"/>
      <c r="H38" s="507"/>
      <c r="I38" s="507"/>
      <c r="J38" s="507"/>
      <c r="K38" s="507"/>
      <c r="L38" s="507"/>
    </row>
    <row r="39" spans="1:14" s="38" customFormat="1" x14ac:dyDescent="0.25">
      <c r="A39" s="279" t="s">
        <v>542</v>
      </c>
      <c r="B39" s="61"/>
      <c r="C39" s="62"/>
      <c r="D39" s="98"/>
      <c r="E39" s="348"/>
      <c r="F39" s="383"/>
      <c r="G39" s="58"/>
      <c r="H39" s="57"/>
      <c r="I39" s="57"/>
      <c r="J39" s="58"/>
      <c r="K39" s="58"/>
      <c r="L39" s="58"/>
    </row>
    <row r="40" spans="1:14" s="67" customFormat="1" x14ac:dyDescent="0.25">
      <c r="A40" s="280" t="s">
        <v>542</v>
      </c>
      <c r="B40" s="63" t="s">
        <v>377</v>
      </c>
      <c r="C40" s="64" t="str">
        <f>AutoBaremo!C280</f>
        <v/>
      </c>
      <c r="D40" s="99" t="str">
        <f>AutoBaremo!D280</f>
        <v/>
      </c>
      <c r="E40" s="351"/>
      <c r="F40" s="384"/>
      <c r="G40" s="66"/>
      <c r="H40" s="65"/>
      <c r="I40" s="65"/>
      <c r="J40" s="66"/>
      <c r="K40" s="66"/>
      <c r="L40" s="66"/>
    </row>
    <row r="41" spans="1:14" s="67" customFormat="1" x14ac:dyDescent="0.25">
      <c r="A41" s="280" t="s">
        <v>542</v>
      </c>
      <c r="B41" s="63" t="s">
        <v>378</v>
      </c>
      <c r="C41" s="68" t="str">
        <f>AutoBaremo!C281</f>
        <v/>
      </c>
      <c r="D41" s="102"/>
      <c r="E41" s="351"/>
      <c r="F41" s="384"/>
      <c r="G41" s="66"/>
      <c r="H41" s="65"/>
      <c r="I41" s="65"/>
      <c r="J41" s="66"/>
      <c r="K41" s="66"/>
      <c r="L41" s="66"/>
    </row>
    <row r="42" spans="1:14" s="38" customFormat="1" x14ac:dyDescent="0.25">
      <c r="A42" s="279" t="s">
        <v>542</v>
      </c>
      <c r="B42" s="69"/>
      <c r="C42" s="70"/>
      <c r="D42" s="103"/>
      <c r="E42" s="350"/>
      <c r="F42" s="385"/>
      <c r="G42" s="58"/>
      <c r="H42" s="57"/>
      <c r="I42" s="57"/>
      <c r="J42" s="58"/>
      <c r="K42" s="58"/>
      <c r="L42" s="58"/>
    </row>
    <row r="43" spans="1:14" s="38" customFormat="1" x14ac:dyDescent="0.25">
      <c r="A43" s="279" t="s">
        <v>542</v>
      </c>
      <c r="B43" s="69"/>
      <c r="C43" s="70"/>
      <c r="D43" s="103"/>
      <c r="E43" s="350"/>
      <c r="F43" s="385"/>
      <c r="G43" s="58"/>
      <c r="H43" s="57"/>
      <c r="I43" s="57"/>
      <c r="J43" s="58"/>
      <c r="K43" s="58"/>
      <c r="L43" s="58"/>
    </row>
    <row r="44" spans="1:14" s="38" customFormat="1" x14ac:dyDescent="0.25">
      <c r="A44" s="279" t="s">
        <v>542</v>
      </c>
      <c r="B44" s="69"/>
      <c r="C44" s="70"/>
      <c r="D44" s="103"/>
      <c r="E44" s="350"/>
      <c r="F44" s="385"/>
      <c r="G44" s="58"/>
      <c r="H44" s="57"/>
      <c r="I44" s="57"/>
      <c r="J44" s="58"/>
      <c r="K44" s="58"/>
      <c r="L44" s="58"/>
    </row>
    <row r="45" spans="1:14" s="38" customFormat="1" ht="15.75" thickBot="1" x14ac:dyDescent="0.3">
      <c r="A45" s="279" t="s">
        <v>542</v>
      </c>
      <c r="B45" s="71"/>
      <c r="C45" s="72"/>
      <c r="D45" s="355"/>
      <c r="E45" s="356"/>
      <c r="F45" s="386"/>
      <c r="G45" s="58"/>
      <c r="H45" s="57"/>
      <c r="I45" s="57"/>
      <c r="J45" s="58"/>
      <c r="K45" s="58"/>
      <c r="L45" s="58"/>
    </row>
    <row r="46" spans="1:14" x14ac:dyDescent="0.25">
      <c r="A46" s="73"/>
      <c r="B46" s="74"/>
      <c r="C46" s="74"/>
      <c r="D46" s="74"/>
      <c r="E46" s="75"/>
      <c r="F46" s="76"/>
      <c r="G46" s="76"/>
      <c r="H46" s="75"/>
      <c r="I46" s="75"/>
      <c r="J46" s="76"/>
      <c r="K46" s="76"/>
      <c r="L46" s="76"/>
    </row>
    <row r="47" spans="1:14" x14ac:dyDescent="0.25">
      <c r="A47" s="77"/>
      <c r="B47" s="27"/>
      <c r="C47" s="27"/>
      <c r="D47" s="27"/>
      <c r="E47" s="78"/>
      <c r="H47" s="78"/>
      <c r="I47" s="78"/>
    </row>
    <row r="48" spans="1:14" x14ac:dyDescent="0.25">
      <c r="A48" s="77"/>
      <c r="B48" s="27"/>
      <c r="C48" s="27"/>
      <c r="D48" s="27"/>
      <c r="E48" s="78"/>
      <c r="H48" s="78"/>
      <c r="I48" s="78"/>
    </row>
    <row r="49" spans="1:9" x14ac:dyDescent="0.25">
      <c r="A49" s="77"/>
      <c r="B49" s="27"/>
      <c r="C49" s="27"/>
      <c r="D49" s="27"/>
      <c r="E49" s="78"/>
      <c r="H49" s="78"/>
      <c r="I49" s="78"/>
    </row>
    <row r="50" spans="1:9" x14ac:dyDescent="0.25">
      <c r="A50" s="77"/>
      <c r="B50" s="27"/>
      <c r="C50" s="27"/>
      <c r="D50" s="27"/>
      <c r="E50" s="78"/>
      <c r="H50" s="78"/>
      <c r="I50" s="78"/>
    </row>
    <row r="51" spans="1:9" x14ac:dyDescent="0.25">
      <c r="A51" s="77"/>
      <c r="B51" s="27"/>
      <c r="C51" s="27"/>
      <c r="D51" s="27"/>
      <c r="E51" s="78"/>
      <c r="H51" s="78"/>
      <c r="I51" s="78"/>
    </row>
    <row r="52" spans="1:9" x14ac:dyDescent="0.25">
      <c r="A52" s="77"/>
      <c r="B52" s="27"/>
      <c r="C52" s="27"/>
      <c r="D52" s="27"/>
      <c r="E52" s="78"/>
      <c r="H52" s="78"/>
      <c r="I52" s="78"/>
    </row>
    <row r="53" spans="1:9" x14ac:dyDescent="0.25">
      <c r="A53" s="77"/>
      <c r="B53" s="27"/>
      <c r="C53" s="27"/>
      <c r="D53" s="27"/>
      <c r="E53" s="78"/>
      <c r="H53" s="78"/>
      <c r="I53" s="78"/>
    </row>
    <row r="54" spans="1:9" x14ac:dyDescent="0.25">
      <c r="A54" s="77"/>
      <c r="B54" s="27"/>
      <c r="C54" s="27"/>
      <c r="D54" s="27"/>
      <c r="E54" s="78"/>
      <c r="H54" s="78"/>
      <c r="I54" s="78"/>
    </row>
    <row r="55" spans="1:9" x14ac:dyDescent="0.25">
      <c r="A55" s="77"/>
      <c r="B55" s="27"/>
      <c r="C55" s="27"/>
      <c r="D55" s="27"/>
      <c r="E55" s="78"/>
      <c r="H55" s="78"/>
      <c r="I55" s="78"/>
    </row>
    <row r="56" spans="1:9" x14ac:dyDescent="0.25">
      <c r="A56" s="77"/>
      <c r="B56" s="27"/>
      <c r="C56" s="27"/>
      <c r="D56" s="27"/>
      <c r="E56" s="78"/>
      <c r="H56" s="78"/>
      <c r="I56" s="78"/>
    </row>
    <row r="57" spans="1:9" x14ac:dyDescent="0.25">
      <c r="A57" s="77"/>
      <c r="B57" s="27"/>
      <c r="C57" s="27"/>
      <c r="D57" s="27"/>
      <c r="E57" s="78"/>
      <c r="H57" s="78"/>
      <c r="I57" s="78"/>
    </row>
    <row r="58" spans="1:9" x14ac:dyDescent="0.25">
      <c r="A58" s="77"/>
      <c r="B58" s="27"/>
      <c r="C58" s="27"/>
      <c r="D58" s="27"/>
      <c r="E58" s="78"/>
      <c r="H58" s="78"/>
      <c r="I58" s="78"/>
    </row>
    <row r="59" spans="1:9" x14ac:dyDescent="0.25">
      <c r="A59" s="77"/>
      <c r="B59" s="27"/>
      <c r="C59" s="27"/>
      <c r="D59" s="27"/>
      <c r="E59" s="78"/>
      <c r="H59" s="78"/>
      <c r="I59" s="78"/>
    </row>
    <row r="60" spans="1:9" x14ac:dyDescent="0.25">
      <c r="A60" s="77"/>
      <c r="B60" s="27"/>
      <c r="C60" s="27"/>
      <c r="D60" s="27"/>
      <c r="E60" s="78"/>
      <c r="H60" s="78"/>
      <c r="I60" s="78"/>
    </row>
    <row r="61" spans="1:9" x14ac:dyDescent="0.25">
      <c r="A61" s="77"/>
      <c r="B61" s="27"/>
      <c r="C61" s="27"/>
      <c r="D61" s="27"/>
      <c r="E61" s="78"/>
      <c r="H61" s="78"/>
      <c r="I61" s="78"/>
    </row>
    <row r="62" spans="1:9" x14ac:dyDescent="0.25">
      <c r="A62" s="77"/>
      <c r="B62" s="27"/>
      <c r="C62" s="27"/>
      <c r="D62" s="27"/>
      <c r="E62" s="78"/>
      <c r="H62" s="78"/>
      <c r="I62" s="78"/>
    </row>
    <row r="63" spans="1:9" x14ac:dyDescent="0.25">
      <c r="A63" s="77"/>
      <c r="B63" s="27"/>
      <c r="C63" s="27"/>
      <c r="D63" s="27"/>
      <c r="E63" s="78"/>
      <c r="H63" s="78"/>
      <c r="I63" s="78"/>
    </row>
    <row r="64" spans="1:9" x14ac:dyDescent="0.25">
      <c r="A64" s="77"/>
      <c r="B64" s="27"/>
      <c r="C64" s="27"/>
      <c r="D64" s="27"/>
      <c r="E64" s="78"/>
      <c r="H64" s="78"/>
      <c r="I64" s="78"/>
    </row>
    <row r="65" spans="1:9" x14ac:dyDescent="0.25">
      <c r="A65" s="77"/>
      <c r="B65" s="27"/>
      <c r="C65" s="27"/>
      <c r="D65" s="27"/>
      <c r="E65" s="78"/>
      <c r="H65" s="78"/>
      <c r="I65" s="78"/>
    </row>
    <row r="66" spans="1:9" x14ac:dyDescent="0.25">
      <c r="A66" s="77"/>
      <c r="B66" s="27"/>
      <c r="C66" s="27"/>
      <c r="D66" s="27"/>
      <c r="E66" s="78"/>
      <c r="H66" s="78"/>
      <c r="I66" s="78"/>
    </row>
    <row r="67" spans="1:9" x14ac:dyDescent="0.25">
      <c r="A67" s="77"/>
      <c r="B67" s="27"/>
      <c r="C67" s="27"/>
      <c r="D67" s="27"/>
      <c r="E67" s="78"/>
      <c r="H67" s="78"/>
      <c r="I67" s="78"/>
    </row>
    <row r="68" spans="1:9" x14ac:dyDescent="0.25">
      <c r="A68" s="77"/>
      <c r="B68" s="27"/>
      <c r="C68" s="27"/>
      <c r="D68" s="27"/>
      <c r="E68" s="78"/>
      <c r="H68" s="78"/>
      <c r="I68" s="78"/>
    </row>
    <row r="69" spans="1:9" x14ac:dyDescent="0.25">
      <c r="A69" s="77"/>
      <c r="B69" s="27"/>
      <c r="C69" s="27"/>
      <c r="D69" s="27"/>
      <c r="E69" s="78"/>
      <c r="H69" s="78"/>
      <c r="I69" s="78"/>
    </row>
    <row r="70" spans="1:9" x14ac:dyDescent="0.25">
      <c r="A70" s="77"/>
      <c r="B70" s="27"/>
      <c r="C70" s="27"/>
      <c r="D70" s="27"/>
      <c r="E70" s="78"/>
      <c r="H70" s="78"/>
      <c r="I70" s="78"/>
    </row>
    <row r="71" spans="1:9" x14ac:dyDescent="0.25">
      <c r="A71" s="77"/>
      <c r="B71" s="27"/>
      <c r="C71" s="27"/>
      <c r="D71" s="27"/>
      <c r="E71" s="78"/>
      <c r="H71" s="78"/>
      <c r="I71" s="78"/>
    </row>
    <row r="72" spans="1:9" x14ac:dyDescent="0.25">
      <c r="A72" s="77"/>
      <c r="B72" s="27"/>
      <c r="C72" s="27"/>
      <c r="D72" s="27"/>
      <c r="E72" s="78"/>
      <c r="H72" s="78"/>
      <c r="I72" s="78"/>
    </row>
    <row r="73" spans="1:9" x14ac:dyDescent="0.25">
      <c r="A73" s="77"/>
      <c r="B73" s="27"/>
      <c r="C73" s="27"/>
      <c r="D73" s="27"/>
      <c r="E73" s="78"/>
      <c r="H73" s="78"/>
      <c r="I73" s="78"/>
    </row>
    <row r="74" spans="1:9" x14ac:dyDescent="0.25">
      <c r="A74" s="77"/>
      <c r="B74" s="27"/>
      <c r="C74" s="27"/>
      <c r="D74" s="27"/>
      <c r="E74" s="78"/>
      <c r="H74" s="78"/>
      <c r="I74" s="78"/>
    </row>
    <row r="75" spans="1:9" x14ac:dyDescent="0.25">
      <c r="A75" s="77"/>
      <c r="B75" s="27"/>
      <c r="C75" s="27"/>
      <c r="D75" s="27"/>
      <c r="E75" s="78"/>
      <c r="H75" s="78"/>
      <c r="I75" s="78"/>
    </row>
    <row r="76" spans="1:9" x14ac:dyDescent="0.25">
      <c r="A76" s="77"/>
      <c r="B76" s="27"/>
      <c r="C76" s="27"/>
      <c r="D76" s="27"/>
      <c r="E76" s="78"/>
      <c r="H76" s="78"/>
      <c r="I76" s="78"/>
    </row>
    <row r="77" spans="1:9" x14ac:dyDescent="0.25">
      <c r="A77" s="77"/>
      <c r="B77" s="27"/>
      <c r="C77" s="27"/>
      <c r="D77" s="27"/>
      <c r="E77" s="78"/>
      <c r="H77" s="78"/>
      <c r="I77" s="78"/>
    </row>
    <row r="78" spans="1:9" x14ac:dyDescent="0.25">
      <c r="A78" s="77"/>
      <c r="B78" s="27"/>
      <c r="C78" s="27"/>
      <c r="D78" s="27"/>
      <c r="E78" s="78"/>
      <c r="H78" s="78"/>
      <c r="I78" s="78"/>
    </row>
    <row r="79" spans="1:9" x14ac:dyDescent="0.25">
      <c r="A79" s="77"/>
      <c r="B79" s="27"/>
      <c r="C79" s="27"/>
      <c r="D79" s="27"/>
      <c r="E79" s="78"/>
      <c r="H79" s="78"/>
      <c r="I79" s="78"/>
    </row>
    <row r="80" spans="1:9" x14ac:dyDescent="0.25">
      <c r="A80" s="77"/>
      <c r="B80" s="27"/>
      <c r="C80" s="27"/>
      <c r="D80" s="27"/>
      <c r="E80" s="78"/>
      <c r="H80" s="78"/>
      <c r="I80" s="78"/>
    </row>
    <row r="81" spans="1:9" x14ac:dyDescent="0.25">
      <c r="A81" s="77"/>
      <c r="B81" s="27"/>
      <c r="C81" s="27"/>
      <c r="D81" s="27"/>
      <c r="E81" s="78"/>
      <c r="H81" s="78"/>
      <c r="I81" s="78"/>
    </row>
    <row r="82" spans="1:9" x14ac:dyDescent="0.25">
      <c r="A82" s="77"/>
      <c r="B82" s="27"/>
      <c r="C82" s="27"/>
      <c r="D82" s="27"/>
      <c r="E82" s="78"/>
      <c r="H82" s="78"/>
      <c r="I82" s="78"/>
    </row>
    <row r="83" spans="1:9" x14ac:dyDescent="0.25">
      <c r="A83" s="77"/>
      <c r="B83" s="27"/>
      <c r="C83" s="27"/>
      <c r="D83" s="27"/>
      <c r="E83" s="78"/>
      <c r="H83" s="78"/>
      <c r="I83" s="78"/>
    </row>
    <row r="84" spans="1:9" x14ac:dyDescent="0.25">
      <c r="A84" s="77"/>
      <c r="B84" s="27"/>
      <c r="C84" s="27"/>
      <c r="D84" s="27"/>
      <c r="E84" s="78"/>
      <c r="H84" s="78"/>
      <c r="I84" s="78"/>
    </row>
    <row r="85" spans="1:9" x14ac:dyDescent="0.25">
      <c r="A85" s="77"/>
      <c r="B85" s="27"/>
      <c r="C85" s="27"/>
      <c r="D85" s="27"/>
      <c r="E85" s="78"/>
      <c r="H85" s="78"/>
      <c r="I85" s="78"/>
    </row>
    <row r="86" spans="1:9" x14ac:dyDescent="0.25">
      <c r="A86" s="77"/>
      <c r="B86" s="27"/>
      <c r="C86" s="27"/>
      <c r="D86" s="27"/>
      <c r="E86" s="78"/>
      <c r="H86" s="78"/>
      <c r="I86" s="78"/>
    </row>
    <row r="87" spans="1:9" x14ac:dyDescent="0.25">
      <c r="A87" s="77"/>
      <c r="B87" s="27"/>
      <c r="C87" s="27"/>
      <c r="D87" s="27"/>
      <c r="E87" s="78"/>
      <c r="H87" s="78"/>
      <c r="I87" s="78"/>
    </row>
    <row r="88" spans="1:9" x14ac:dyDescent="0.25">
      <c r="A88" s="77"/>
      <c r="B88" s="27"/>
      <c r="C88" s="27"/>
      <c r="D88" s="27"/>
      <c r="E88" s="78"/>
      <c r="H88" s="78"/>
      <c r="I88" s="78"/>
    </row>
    <row r="89" spans="1:9" x14ac:dyDescent="0.25">
      <c r="A89" s="77"/>
      <c r="B89" s="27"/>
      <c r="C89" s="27"/>
      <c r="D89" s="27"/>
      <c r="E89" s="78"/>
      <c r="H89" s="78"/>
      <c r="I89" s="78"/>
    </row>
    <row r="90" spans="1:9" x14ac:dyDescent="0.25">
      <c r="A90" s="77"/>
      <c r="B90" s="27"/>
      <c r="C90" s="27"/>
      <c r="D90" s="27"/>
      <c r="E90" s="78"/>
      <c r="H90" s="78"/>
      <c r="I90" s="78"/>
    </row>
    <row r="91" spans="1:9" x14ac:dyDescent="0.25">
      <c r="A91" s="77"/>
      <c r="B91" s="27"/>
      <c r="C91" s="27"/>
      <c r="D91" s="27"/>
      <c r="E91" s="78"/>
      <c r="H91" s="78"/>
      <c r="I91" s="78"/>
    </row>
    <row r="92" spans="1:9" x14ac:dyDescent="0.25">
      <c r="A92" s="77"/>
      <c r="B92" s="27"/>
      <c r="C92" s="27"/>
      <c r="D92" s="27"/>
      <c r="E92" s="78"/>
      <c r="H92" s="78"/>
      <c r="I92" s="78"/>
    </row>
    <row r="93" spans="1:9" x14ac:dyDescent="0.25">
      <c r="A93" s="77"/>
      <c r="B93" s="27"/>
      <c r="C93" s="27"/>
      <c r="D93" s="27"/>
      <c r="E93" s="78"/>
      <c r="H93" s="78"/>
      <c r="I93" s="78"/>
    </row>
    <row r="94" spans="1:9" x14ac:dyDescent="0.25">
      <c r="A94" s="77"/>
      <c r="B94" s="27"/>
      <c r="C94" s="27"/>
      <c r="D94" s="27"/>
      <c r="E94" s="78"/>
      <c r="H94" s="78"/>
      <c r="I94" s="78"/>
    </row>
    <row r="95" spans="1:9" x14ac:dyDescent="0.25">
      <c r="A95" s="77"/>
      <c r="B95" s="27"/>
      <c r="C95" s="27"/>
      <c r="D95" s="27"/>
      <c r="E95" s="78"/>
      <c r="H95" s="78"/>
      <c r="I95" s="78"/>
    </row>
    <row r="96" spans="1:9" x14ac:dyDescent="0.25">
      <c r="A96" s="77"/>
      <c r="B96" s="27"/>
      <c r="C96" s="27"/>
      <c r="D96" s="27"/>
      <c r="E96" s="78"/>
      <c r="H96" s="78"/>
      <c r="I96" s="78"/>
    </row>
    <row r="97" spans="1:9" x14ac:dyDescent="0.25">
      <c r="A97" s="77"/>
      <c r="B97" s="27"/>
      <c r="C97" s="27"/>
      <c r="D97" s="27"/>
      <c r="E97" s="78"/>
      <c r="H97" s="78"/>
      <c r="I97" s="78"/>
    </row>
    <row r="98" spans="1:9" x14ac:dyDescent="0.25">
      <c r="A98" s="77"/>
      <c r="B98" s="27"/>
      <c r="C98" s="27"/>
      <c r="D98" s="27"/>
      <c r="E98" s="78"/>
      <c r="H98" s="78"/>
      <c r="I98" s="78"/>
    </row>
    <row r="99" spans="1:9" x14ac:dyDescent="0.25">
      <c r="A99" s="77"/>
      <c r="B99" s="27"/>
      <c r="C99" s="27"/>
      <c r="D99" s="27"/>
      <c r="E99" s="78"/>
      <c r="H99" s="78"/>
      <c r="I99" s="78"/>
    </row>
    <row r="100" spans="1:9" x14ac:dyDescent="0.25">
      <c r="A100" s="77"/>
      <c r="B100" s="27"/>
      <c r="C100" s="27"/>
      <c r="D100" s="27"/>
      <c r="E100" s="78"/>
      <c r="H100" s="78"/>
      <c r="I100" s="78"/>
    </row>
    <row r="101" spans="1:9" x14ac:dyDescent="0.25">
      <c r="A101" s="77"/>
      <c r="B101" s="27"/>
      <c r="C101" s="27"/>
      <c r="D101" s="27"/>
      <c r="E101" s="78"/>
      <c r="H101" s="78"/>
      <c r="I101" s="78"/>
    </row>
  </sheetData>
  <sheetProtection algorithmName="SHA-512" hashValue="5CjUA7sDumH37AcCX5mu2zWqEPgJ15Q2tMzyi6x9XcZKGbYYjdC3GxyE0cp4/AcGTW8pPE9H0bHKckqklZnZLw==" saltValue="BulewR7i6MdwG5rlRr/QFA==" spinCount="100000" sheet="1" selectLockedCells="1" autoFilter="0"/>
  <autoFilter ref="A6:C6"/>
  <mergeCells count="39">
    <mergeCell ref="B38:L38"/>
    <mergeCell ref="C34:D34"/>
    <mergeCell ref="B7:L7"/>
    <mergeCell ref="B9:L9"/>
    <mergeCell ref="B8:L8"/>
    <mergeCell ref="E11:F11"/>
    <mergeCell ref="G11:H11"/>
    <mergeCell ref="C29:D29"/>
    <mergeCell ref="C30:D30"/>
    <mergeCell ref="B24:D24"/>
    <mergeCell ref="B16:C16"/>
    <mergeCell ref="B19:D19"/>
    <mergeCell ref="B25:C25"/>
    <mergeCell ref="B28:D28"/>
    <mergeCell ref="C26:D26"/>
    <mergeCell ref="C32:D32"/>
    <mergeCell ref="C20:D20"/>
    <mergeCell ref="C21:D21"/>
    <mergeCell ref="B14:C14"/>
    <mergeCell ref="B33:D33"/>
    <mergeCell ref="B31:D31"/>
    <mergeCell ref="C27:D27"/>
    <mergeCell ref="B22:D22"/>
    <mergeCell ref="B23:C23"/>
    <mergeCell ref="B1:H1"/>
    <mergeCell ref="I1:L1"/>
    <mergeCell ref="B13:D13"/>
    <mergeCell ref="C17:D17"/>
    <mergeCell ref="C18:D18"/>
    <mergeCell ref="C2:L2"/>
    <mergeCell ref="C3:L3"/>
    <mergeCell ref="C4:D4"/>
    <mergeCell ref="B10:D11"/>
    <mergeCell ref="E10:L10"/>
    <mergeCell ref="J11:J12"/>
    <mergeCell ref="K11:K12"/>
    <mergeCell ref="I11:I12"/>
    <mergeCell ref="B12:D12"/>
    <mergeCell ref="B15:D15"/>
  </mergeCells>
  <pageMargins left="0.35433070866141736" right="0.15748031496062992" top="1.1417322834645669" bottom="0.78740157480314965" header="0.31496062992125984" footer="0.31496062992125984"/>
  <pageSetup paperSize="9" scale="67" fitToHeight="0" orientation="portrait" r:id="rId1"/>
  <headerFooter scaleWithDoc="0">
    <oddHeader>&amp;L&amp;G</oddHeader>
    <oddFooter>&amp;L&amp;"Eras Demi ITC,Normal"&amp;8&amp;G&amp;R&amp;8&amp;P/&amp;N</oddFooter>
  </headerFooter>
  <ignoredErrors>
    <ignoredError sqref="L22" formula="1"/>
  </ignoredErrors>
  <drawing r:id="rId2"/>
  <legacyDrawing r:id="rId3"/>
  <legacyDrawingHF r:id="rId4"/>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Listas!$A$70:$A$71</xm:f>
          </x14:formula1>
          <xm:sqref>K12</xm:sqref>
        </x14:dataValidation>
        <x14:dataValidation type="list" allowBlank="1" showInputMessage="1" showErrorMessage="1">
          <x14:formula1>
            <xm:f>Listas!$A$11:$A$21</xm:f>
          </x14:formula1>
          <xm:sqref>C4:D4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N79"/>
  <sheetViews>
    <sheetView workbookViewId="0">
      <selection activeCell="C36" sqref="C36"/>
    </sheetView>
  </sheetViews>
  <sheetFormatPr baseColWidth="10" defaultColWidth="11.42578125" defaultRowHeight="12.75" x14ac:dyDescent="0.2"/>
  <cols>
    <col min="1" max="1" width="33.85546875" style="5" bestFit="1" customWidth="1"/>
    <col min="2" max="2" width="19.140625" style="4" customWidth="1"/>
    <col min="3" max="3" width="7.140625" style="4" customWidth="1"/>
    <col min="4" max="4" width="23.42578125" style="4" bestFit="1" customWidth="1"/>
    <col min="5" max="5" width="11.85546875" style="4" bestFit="1" customWidth="1"/>
    <col min="6" max="6" width="16.5703125" style="4" customWidth="1"/>
    <col min="7" max="16384" width="11.42578125" style="4"/>
  </cols>
  <sheetData>
    <row r="1" spans="1:14" x14ac:dyDescent="0.2">
      <c r="A1" s="3" t="s">
        <v>364</v>
      </c>
    </row>
    <row r="2" spans="1:14" x14ac:dyDescent="0.2">
      <c r="A2" s="5" t="s">
        <v>365</v>
      </c>
      <c r="B2" s="6" t="s">
        <v>23</v>
      </c>
    </row>
    <row r="3" spans="1:14" x14ac:dyDescent="0.2">
      <c r="A3" s="5" t="s">
        <v>366</v>
      </c>
      <c r="B3" s="6" t="s">
        <v>23</v>
      </c>
    </row>
    <row r="4" spans="1:14" x14ac:dyDescent="0.2">
      <c r="A4" s="3" t="s">
        <v>552</v>
      </c>
    </row>
    <row r="5" spans="1:14" x14ac:dyDescent="0.2">
      <c r="A5" s="388" t="s">
        <v>864</v>
      </c>
    </row>
    <row r="6" spans="1:14" x14ac:dyDescent="0.2">
      <c r="A6" s="388" t="s">
        <v>865</v>
      </c>
    </row>
    <row r="7" spans="1:14" x14ac:dyDescent="0.2">
      <c r="A7" s="3" t="s">
        <v>1</v>
      </c>
    </row>
    <row r="8" spans="1:14" x14ac:dyDescent="0.2">
      <c r="A8" s="5" t="s">
        <v>0</v>
      </c>
      <c r="B8" s="6" t="s">
        <v>23</v>
      </c>
    </row>
    <row r="9" spans="1:14" ht="15" x14ac:dyDescent="0.25">
      <c r="A9" s="5" t="s">
        <v>2</v>
      </c>
      <c r="B9" s="6" t="s">
        <v>23</v>
      </c>
      <c r="K9"/>
      <c r="L9"/>
      <c r="M9"/>
      <c r="N9"/>
    </row>
    <row r="10" spans="1:14" ht="15" x14ac:dyDescent="0.25">
      <c r="A10" s="3" t="s">
        <v>4</v>
      </c>
      <c r="B10" s="7" t="s">
        <v>370</v>
      </c>
      <c r="C10" s="3" t="s">
        <v>369</v>
      </c>
      <c r="K10"/>
      <c r="L10"/>
      <c r="M10"/>
      <c r="N10"/>
    </row>
    <row r="11" spans="1:14" ht="15" x14ac:dyDescent="0.25">
      <c r="A11" s="5" t="s">
        <v>5</v>
      </c>
      <c r="B11" s="8">
        <v>1</v>
      </c>
      <c r="C11" s="8">
        <v>1</v>
      </c>
      <c r="I11" s="9"/>
      <c r="K11"/>
      <c r="L11"/>
      <c r="M11"/>
      <c r="N11"/>
    </row>
    <row r="12" spans="1:14" ht="15" x14ac:dyDescent="0.25">
      <c r="A12" s="5" t="s">
        <v>6</v>
      </c>
      <c r="B12" s="8">
        <v>2</v>
      </c>
      <c r="C12" s="8">
        <v>2</v>
      </c>
      <c r="I12" s="9"/>
      <c r="K12"/>
      <c r="L12"/>
      <c r="M12"/>
      <c r="N12"/>
    </row>
    <row r="13" spans="1:14" ht="15" x14ac:dyDescent="0.25">
      <c r="A13" s="5" t="s">
        <v>7</v>
      </c>
      <c r="B13" s="8">
        <v>3</v>
      </c>
      <c r="C13" s="8">
        <v>3</v>
      </c>
      <c r="I13" s="9"/>
      <c r="K13"/>
      <c r="L13"/>
      <c r="M13"/>
      <c r="N13"/>
    </row>
    <row r="14" spans="1:14" ht="15" x14ac:dyDescent="0.25">
      <c r="A14" s="5" t="s">
        <v>8</v>
      </c>
      <c r="B14" s="8">
        <v>4</v>
      </c>
      <c r="C14" s="8">
        <v>3</v>
      </c>
      <c r="I14" s="9"/>
      <c r="K14"/>
      <c r="L14"/>
      <c r="M14"/>
      <c r="N14"/>
    </row>
    <row r="15" spans="1:14" ht="15" x14ac:dyDescent="0.25">
      <c r="A15" s="5" t="s">
        <v>682</v>
      </c>
      <c r="B15" s="8">
        <v>5</v>
      </c>
      <c r="C15" s="8">
        <v>3</v>
      </c>
      <c r="I15" s="9"/>
      <c r="K15"/>
      <c r="L15"/>
      <c r="M15"/>
      <c r="N15"/>
    </row>
    <row r="16" spans="1:14" ht="15" x14ac:dyDescent="0.25">
      <c r="A16" s="5" t="s">
        <v>9</v>
      </c>
      <c r="B16" s="8">
        <v>6</v>
      </c>
      <c r="C16" s="8">
        <v>3</v>
      </c>
      <c r="I16" s="9"/>
      <c r="K16"/>
      <c r="L16"/>
      <c r="M16"/>
      <c r="N16"/>
    </row>
    <row r="17" spans="1:14" ht="15" x14ac:dyDescent="0.25">
      <c r="A17" s="5" t="s">
        <v>10</v>
      </c>
      <c r="B17" s="8">
        <v>7</v>
      </c>
      <c r="C17" s="8">
        <v>1</v>
      </c>
      <c r="I17" s="9"/>
      <c r="K17"/>
      <c r="L17"/>
      <c r="M17"/>
      <c r="N17"/>
    </row>
    <row r="18" spans="1:14" ht="15" x14ac:dyDescent="0.25">
      <c r="A18" s="5" t="s">
        <v>11</v>
      </c>
      <c r="B18" s="8">
        <v>8</v>
      </c>
      <c r="C18" s="8">
        <v>2</v>
      </c>
      <c r="I18" s="9"/>
      <c r="K18"/>
      <c r="L18"/>
      <c r="M18"/>
      <c r="N18"/>
    </row>
    <row r="19" spans="1:14" ht="15" x14ac:dyDescent="0.25">
      <c r="A19" s="5" t="s">
        <v>681</v>
      </c>
      <c r="B19" s="8">
        <v>9</v>
      </c>
      <c r="C19" s="8">
        <v>3</v>
      </c>
      <c r="I19" s="9"/>
      <c r="K19"/>
      <c r="L19"/>
      <c r="M19"/>
      <c r="N19"/>
    </row>
    <row r="20" spans="1:14" ht="15" x14ac:dyDescent="0.25">
      <c r="A20" s="5" t="s">
        <v>554</v>
      </c>
      <c r="B20" s="8">
        <v>10</v>
      </c>
      <c r="C20" s="8">
        <v>3</v>
      </c>
      <c r="I20" s="9"/>
      <c r="K20"/>
      <c r="L20"/>
      <c r="M20"/>
      <c r="N20"/>
    </row>
    <row r="21" spans="1:14" ht="15" x14ac:dyDescent="0.25">
      <c r="A21" s="10" t="s">
        <v>12</v>
      </c>
      <c r="B21" s="8">
        <v>11</v>
      </c>
      <c r="C21" s="8">
        <v>0</v>
      </c>
      <c r="D21" s="11"/>
      <c r="E21" s="11"/>
      <c r="F21" s="11"/>
      <c r="G21" s="11"/>
      <c r="H21" s="11"/>
      <c r="I21" s="12"/>
      <c r="K21"/>
      <c r="L21"/>
      <c r="M21"/>
      <c r="N21"/>
    </row>
    <row r="22" spans="1:14" ht="15" x14ac:dyDescent="0.25">
      <c r="A22" s="3" t="s">
        <v>20</v>
      </c>
      <c r="K22"/>
      <c r="L22"/>
      <c r="M22"/>
      <c r="N22"/>
    </row>
    <row r="23" spans="1:14" ht="15" x14ac:dyDescent="0.25">
      <c r="A23" s="5" t="s">
        <v>22</v>
      </c>
      <c r="C23" s="4" t="s">
        <v>23</v>
      </c>
      <c r="D23" s="6" t="s">
        <v>24</v>
      </c>
      <c r="K23"/>
      <c r="L23"/>
      <c r="M23"/>
      <c r="N23"/>
    </row>
    <row r="24" spans="1:14" ht="15" x14ac:dyDescent="0.25">
      <c r="A24" s="5" t="s">
        <v>21</v>
      </c>
      <c r="D24" s="6" t="s">
        <v>24</v>
      </c>
      <c r="K24"/>
      <c r="L24"/>
      <c r="M24"/>
      <c r="N24"/>
    </row>
    <row r="25" spans="1:14" ht="15" x14ac:dyDescent="0.25">
      <c r="A25" s="5" t="s">
        <v>31</v>
      </c>
      <c r="D25" s="6" t="s">
        <v>24</v>
      </c>
      <c r="K25"/>
      <c r="L25"/>
      <c r="M25"/>
      <c r="N25"/>
    </row>
    <row r="26" spans="1:14" ht="15" x14ac:dyDescent="0.25">
      <c r="A26" s="5" t="s">
        <v>30</v>
      </c>
      <c r="K26"/>
      <c r="L26"/>
      <c r="M26"/>
      <c r="N26"/>
    </row>
    <row r="27" spans="1:14" x14ac:dyDescent="0.2">
      <c r="A27" s="3" t="s">
        <v>553</v>
      </c>
    </row>
    <row r="28" spans="1:14" x14ac:dyDescent="0.2">
      <c r="A28" s="13" t="s">
        <v>601</v>
      </c>
    </row>
    <row r="29" spans="1:14" x14ac:dyDescent="0.2">
      <c r="A29" s="13" t="s">
        <v>600</v>
      </c>
    </row>
    <row r="30" spans="1:14" x14ac:dyDescent="0.2">
      <c r="A30" s="13" t="s">
        <v>599</v>
      </c>
    </row>
    <row r="31" spans="1:14" x14ac:dyDescent="0.2">
      <c r="A31" s="13" t="s">
        <v>602</v>
      </c>
    </row>
    <row r="32" spans="1:14" x14ac:dyDescent="0.2">
      <c r="A32" s="13" t="s">
        <v>550</v>
      </c>
    </row>
    <row r="33" spans="1:1" x14ac:dyDescent="0.2">
      <c r="A33" s="13" t="s">
        <v>549</v>
      </c>
    </row>
    <row r="34" spans="1:1" x14ac:dyDescent="0.2">
      <c r="A34" s="13" t="s">
        <v>818</v>
      </c>
    </row>
    <row r="35" spans="1:1" x14ac:dyDescent="0.2">
      <c r="A35" s="5" t="s">
        <v>610</v>
      </c>
    </row>
    <row r="36" spans="1:1" x14ac:dyDescent="0.2">
      <c r="A36" s="5" t="s">
        <v>615</v>
      </c>
    </row>
    <row r="37" spans="1:1" x14ac:dyDescent="0.2">
      <c r="A37" s="5" t="s">
        <v>819</v>
      </c>
    </row>
    <row r="38" spans="1:1" x14ac:dyDescent="0.2">
      <c r="A38" s="5" t="s">
        <v>820</v>
      </c>
    </row>
    <row r="39" spans="1:1" x14ac:dyDescent="0.2">
      <c r="A39" s="5" t="s">
        <v>684</v>
      </c>
    </row>
    <row r="40" spans="1:1" x14ac:dyDescent="0.2">
      <c r="A40" s="5" t="s">
        <v>685</v>
      </c>
    </row>
    <row r="41" spans="1:1" x14ac:dyDescent="0.2">
      <c r="A41" s="5" t="s">
        <v>782</v>
      </c>
    </row>
    <row r="42" spans="1:1" x14ac:dyDescent="0.2">
      <c r="A42" s="5" t="s">
        <v>783</v>
      </c>
    </row>
    <row r="43" spans="1:1" x14ac:dyDescent="0.2">
      <c r="A43" s="5" t="s">
        <v>781</v>
      </c>
    </row>
    <row r="44" spans="1:1" x14ac:dyDescent="0.2">
      <c r="A44" s="5" t="s">
        <v>762</v>
      </c>
    </row>
    <row r="45" spans="1:1" x14ac:dyDescent="0.2">
      <c r="A45" s="5" t="s">
        <v>846</v>
      </c>
    </row>
    <row r="46" spans="1:1" x14ac:dyDescent="0.2">
      <c r="A46" s="5" t="str">
        <f>"Indicar  "&amp;A3&amp;" o "&amp;A2&amp;" es el IVA subvencionable"</f>
        <v>Indicar  Si o No es el IVA subvencionable</v>
      </c>
    </row>
    <row r="47" spans="1:1" x14ac:dyDescent="0.2">
      <c r="A47" s="5" t="s">
        <v>810</v>
      </c>
    </row>
    <row r="48" spans="1:1" x14ac:dyDescent="0.2">
      <c r="A48" s="5" t="s">
        <v>879</v>
      </c>
    </row>
    <row r="49" spans="1:8" x14ac:dyDescent="0.2">
      <c r="A49" s="5" t="s">
        <v>880</v>
      </c>
    </row>
    <row r="50" spans="1:8" x14ac:dyDescent="0.2">
      <c r="A50" s="388" t="s">
        <v>23</v>
      </c>
    </row>
    <row r="51" spans="1:8" x14ac:dyDescent="0.2">
      <c r="A51" s="3" t="s">
        <v>15</v>
      </c>
      <c r="B51" s="3" t="s">
        <v>14</v>
      </c>
      <c r="C51" s="3"/>
      <c r="D51" s="3" t="s">
        <v>15</v>
      </c>
      <c r="E51" s="3" t="s">
        <v>17</v>
      </c>
      <c r="F51" s="3" t="s">
        <v>16</v>
      </c>
      <c r="G51" s="3" t="s">
        <v>811</v>
      </c>
    </row>
    <row r="52" spans="1:8" ht="48" x14ac:dyDescent="0.2">
      <c r="A52" s="14" t="str">
        <f>C52&amp;" "&amp;D52</f>
        <v>Línea 1 ACTUACIÓN PARA EL FORTALECIMIENTO Y ANIMACIÓN DEL TEJIDO ASOCIATIVO COMARCAL</v>
      </c>
      <c r="B52" s="15">
        <v>1</v>
      </c>
      <c r="C52" s="16" t="s">
        <v>812</v>
      </c>
      <c r="D52" s="14" t="s">
        <v>25</v>
      </c>
      <c r="E52" s="17" t="s">
        <v>19</v>
      </c>
      <c r="F52" s="16" t="s">
        <v>30</v>
      </c>
      <c r="G52" s="18">
        <v>0.9</v>
      </c>
    </row>
    <row r="53" spans="1:8" ht="72" x14ac:dyDescent="0.2">
      <c r="A53" s="19" t="str">
        <f>C53&amp;" "&amp;D53</f>
        <v>Línea 2 ACTUACIÓN PARA LA VERTEBRACIÓN EMPRESARIAL Y LABORAL, LA FORMACIÓN ORIENTADA AL EMPLEO Y LA INTEGRACIÓN SOCIAL</v>
      </c>
      <c r="B53" s="20">
        <v>2</v>
      </c>
      <c r="C53" s="21" t="s">
        <v>813</v>
      </c>
      <c r="D53" s="19" t="s">
        <v>26</v>
      </c>
      <c r="E53" s="22" t="s">
        <v>19</v>
      </c>
      <c r="F53" s="21" t="s">
        <v>30</v>
      </c>
      <c r="G53" s="23">
        <v>0.9</v>
      </c>
    </row>
    <row r="54" spans="1:8" ht="60" x14ac:dyDescent="0.2">
      <c r="A54" s="14" t="str">
        <f>C54&amp;" "&amp;D54</f>
        <v>Línea 3 PROGRAMA DE INTERVENCIÓN PARA LA ADECUACIÓN Y FOMENTO DE LOS RECURSOS PÚBLICOS MUNICIPALES</v>
      </c>
      <c r="B54" s="15">
        <v>3</v>
      </c>
      <c r="C54" s="16" t="s">
        <v>814</v>
      </c>
      <c r="D54" s="14" t="s">
        <v>27</v>
      </c>
      <c r="E54" s="17" t="s">
        <v>19</v>
      </c>
      <c r="F54" s="16" t="s">
        <v>31</v>
      </c>
      <c r="G54" s="18">
        <v>0.9</v>
      </c>
    </row>
    <row r="55" spans="1:8" ht="48" x14ac:dyDescent="0.2">
      <c r="A55" s="19" t="str">
        <f>C55&amp;" "&amp;D55</f>
        <v>Línea 4 PLAN DE MEJORA DE LA CALIDAD LUMÍNICA DE LOS CIELOS NOCTURNOS DE LA COMARCA</v>
      </c>
      <c r="B55" s="20">
        <v>4</v>
      </c>
      <c r="C55" s="21" t="s">
        <v>815</v>
      </c>
      <c r="D55" s="19" t="s">
        <v>28</v>
      </c>
      <c r="E55" s="22" t="s">
        <v>19</v>
      </c>
      <c r="F55" s="21" t="s">
        <v>31</v>
      </c>
      <c r="G55" s="23">
        <v>0.9</v>
      </c>
    </row>
    <row r="56" spans="1:8" ht="60" x14ac:dyDescent="0.2">
      <c r="A56" s="14" t="str">
        <f>C56&amp;" "&amp;D56</f>
        <v>Línea 5 PLAN INTEGRAL DE APOYO AL TEJIDO PRODUCTIVO A TRAVÉS DE EMPRESAS QUE FAVOREZCAN EL EMPLEO COMARCAL</v>
      </c>
      <c r="B56" s="15">
        <v>5</v>
      </c>
      <c r="C56" s="16" t="s">
        <v>816</v>
      </c>
      <c r="D56" s="14" t="s">
        <v>29</v>
      </c>
      <c r="E56" s="17" t="s">
        <v>18</v>
      </c>
      <c r="F56" s="16" t="s">
        <v>22</v>
      </c>
      <c r="G56" s="18">
        <v>0.75</v>
      </c>
    </row>
    <row r="57" spans="1:8" x14ac:dyDescent="0.2">
      <c r="A57" s="3" t="s">
        <v>606</v>
      </c>
      <c r="B57" s="3" t="s">
        <v>607</v>
      </c>
      <c r="H57" s="5"/>
    </row>
    <row r="58" spans="1:8" x14ac:dyDescent="0.2">
      <c r="A58" s="5">
        <v>20</v>
      </c>
      <c r="B58" s="4" t="s">
        <v>608</v>
      </c>
    </row>
    <row r="59" spans="1:8" x14ac:dyDescent="0.2">
      <c r="A59" s="5">
        <v>200</v>
      </c>
      <c r="B59" s="4" t="s">
        <v>609</v>
      </c>
    </row>
    <row r="60" spans="1:8" x14ac:dyDescent="0.2">
      <c r="A60" s="3" t="s">
        <v>611</v>
      </c>
      <c r="B60" s="3" t="s">
        <v>607</v>
      </c>
    </row>
    <row r="61" spans="1:8" x14ac:dyDescent="0.2">
      <c r="A61" s="24">
        <v>43069</v>
      </c>
      <c r="B61" s="4" t="s">
        <v>612</v>
      </c>
    </row>
    <row r="62" spans="1:8" x14ac:dyDescent="0.2">
      <c r="A62" s="24">
        <v>43219</v>
      </c>
    </row>
    <row r="63" spans="1:8" x14ac:dyDescent="0.2">
      <c r="A63" s="3" t="s">
        <v>616</v>
      </c>
      <c r="B63" s="3" t="s">
        <v>607</v>
      </c>
    </row>
    <row r="64" spans="1:8" x14ac:dyDescent="0.2">
      <c r="A64" s="25">
        <v>0</v>
      </c>
      <c r="B64" s="4" t="s">
        <v>617</v>
      </c>
    </row>
    <row r="65" spans="1:2" x14ac:dyDescent="0.2">
      <c r="A65" s="25">
        <v>10000000</v>
      </c>
      <c r="B65" s="4" t="s">
        <v>618</v>
      </c>
    </row>
    <row r="66" spans="1:2" x14ac:dyDescent="0.2">
      <c r="A66" s="5" t="s">
        <v>718</v>
      </c>
    </row>
    <row r="67" spans="1:2" x14ac:dyDescent="0.2">
      <c r="A67" s="5" t="s">
        <v>722</v>
      </c>
    </row>
    <row r="69" spans="1:2" x14ac:dyDescent="0.2">
      <c r="A69" s="3" t="s">
        <v>817</v>
      </c>
      <c r="B69" s="3" t="s">
        <v>607</v>
      </c>
    </row>
    <row r="70" spans="1:2" x14ac:dyDescent="0.2">
      <c r="A70" s="5" t="s">
        <v>736</v>
      </c>
    </row>
    <row r="71" spans="1:2" x14ac:dyDescent="0.2">
      <c r="A71" s="5" t="s">
        <v>737</v>
      </c>
    </row>
    <row r="72" spans="1:2" x14ac:dyDescent="0.2">
      <c r="A72" s="3" t="s">
        <v>826</v>
      </c>
      <c r="B72" s="3" t="s">
        <v>607</v>
      </c>
    </row>
    <row r="73" spans="1:2" x14ac:dyDescent="0.2">
      <c r="A73" s="5" t="s">
        <v>838</v>
      </c>
      <c r="B73" s="4" t="s">
        <v>839</v>
      </c>
    </row>
    <row r="74" spans="1:2" x14ac:dyDescent="0.2">
      <c r="A74" s="5" t="s">
        <v>840</v>
      </c>
      <c r="B74" s="4" t="s">
        <v>841</v>
      </c>
    </row>
    <row r="75" spans="1:2" x14ac:dyDescent="0.2">
      <c r="A75" s="5" t="s">
        <v>842</v>
      </c>
      <c r="B75" s="5" t="s">
        <v>858</v>
      </c>
    </row>
    <row r="76" spans="1:2" x14ac:dyDescent="0.2">
      <c r="A76" s="5" t="s">
        <v>843</v>
      </c>
      <c r="B76" s="4" t="s">
        <v>859</v>
      </c>
    </row>
    <row r="77" spans="1:2" x14ac:dyDescent="0.2">
      <c r="A77" s="5" t="s">
        <v>844</v>
      </c>
      <c r="B77" s="4" t="s">
        <v>863</v>
      </c>
    </row>
    <row r="78" spans="1:2" x14ac:dyDescent="0.2">
      <c r="A78" s="5" t="s">
        <v>845</v>
      </c>
    </row>
    <row r="79" spans="1:2" x14ac:dyDescent="0.2">
      <c r="A79" s="5" t="s">
        <v>835</v>
      </c>
    </row>
  </sheetData>
  <sheetProtection algorithmName="SHA-512" hashValue="uM5BdK9Dgdo/pMYYDColt6r47Sh4ieR9Zqt2aGGwBmurT5jOVRzD7CZdUAkAxzZFdGVjdD85+Aq/wqRweCKXgA==" saltValue="vIjGnzoUvX5QLyj3/GuNHg=="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12</vt:i4>
      </vt:variant>
    </vt:vector>
  </HeadingPairs>
  <TitlesOfParts>
    <vt:vector size="19" baseType="lpstr">
      <vt:lpstr>AutoBaremo</vt:lpstr>
      <vt:lpstr>BalanceyResultados</vt:lpstr>
      <vt:lpstr>CuadroPresupuesto</vt:lpstr>
      <vt:lpstr>PlanInversion</vt:lpstr>
      <vt:lpstr>PlanFinanciacion</vt:lpstr>
      <vt:lpstr>DatosEmpleo</vt:lpstr>
      <vt:lpstr>Listas</vt:lpstr>
      <vt:lpstr>AutoBaremo!Área_de_impresión</vt:lpstr>
      <vt:lpstr>BalanceyResultados!Área_de_impresión</vt:lpstr>
      <vt:lpstr>CuadroPresupuesto!Área_de_impresión</vt:lpstr>
      <vt:lpstr>DatosEmpleo!Área_de_impresión</vt:lpstr>
      <vt:lpstr>PlanFinanciacion!Área_de_impresión</vt:lpstr>
      <vt:lpstr>PlanInversion!Área_de_impresión</vt:lpstr>
      <vt:lpstr>AutoBaremo!Títulos_a_imprimir</vt:lpstr>
      <vt:lpstr>BalanceyResultados!Títulos_a_imprimir</vt:lpstr>
      <vt:lpstr>CuadroPresupuesto!Títulos_a_imprimir</vt:lpstr>
      <vt:lpstr>DatosEmpleo!Títulos_a_imprimir</vt:lpstr>
      <vt:lpstr>PlanFinanciacion!Títulos_a_imprimir</vt:lpstr>
      <vt:lpstr>PlanInversion!Títulos_a_imprimir</vt:lpstr>
    </vt:vector>
  </TitlesOfParts>
  <Company>ADS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Lara Garrido</dc:creator>
  <cp:lastModifiedBy>Francisco Lara Garrido</cp:lastModifiedBy>
  <cp:lastPrinted>2018-01-24T13:00:51Z</cp:lastPrinted>
  <dcterms:created xsi:type="dcterms:W3CDTF">2010-01-14T08:50:00Z</dcterms:created>
  <dcterms:modified xsi:type="dcterms:W3CDTF">2018-04-24T12:54:38Z</dcterms:modified>
</cp:coreProperties>
</file>